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195"/>
  </bookViews>
  <sheets>
    <sheet name="Proyecciones de Egresos" sheetId="1" r:id="rId1"/>
    <sheet name="BExRepositorySheet" sheetId="3" state="veryHidden" r:id="rId2"/>
    <sheet name="fuente1" sheetId="2" state="hidden" r:id="rId3"/>
    <sheet name="Hoja1" sheetId="4" state="hidden" r:id="rId4"/>
  </sheets>
  <externalReferences>
    <externalReference r:id="rId5"/>
  </externalReferences>
  <calcPr calcId="12451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G22" i="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G3"/>
  <c r="E3"/>
  <c r="C3"/>
  <c r="G2"/>
  <c r="C2"/>
  <c r="H22"/>
  <c r="F22"/>
  <c r="D22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H3"/>
  <c r="F3"/>
  <c r="D3"/>
  <c r="H2"/>
  <c r="F2"/>
  <c r="D2"/>
  <c r="E2"/>
  <c r="A19" i="1" l="1"/>
  <c r="A29"/>
  <c r="A9"/>
  <c r="G10" l="1"/>
  <c r="G12"/>
  <c r="G14"/>
  <c r="C16"/>
  <c r="C18"/>
  <c r="C20"/>
  <c r="E21"/>
  <c r="G22"/>
  <c r="C24"/>
  <c r="E25"/>
  <c r="C26"/>
  <c r="E27"/>
  <c r="C28"/>
  <c r="G28"/>
  <c r="E29"/>
  <c r="F9"/>
  <c r="D10"/>
  <c r="H10"/>
  <c r="F11"/>
  <c r="D12"/>
  <c r="H12"/>
  <c r="F13"/>
  <c r="D14"/>
  <c r="H14"/>
  <c r="F15"/>
  <c r="D16"/>
  <c r="H16"/>
  <c r="F17"/>
  <c r="D18"/>
  <c r="H18"/>
  <c r="F19"/>
  <c r="D20"/>
  <c r="H20"/>
  <c r="F21"/>
  <c r="D22"/>
  <c r="H22"/>
  <c r="F23"/>
  <c r="D24"/>
  <c r="H24"/>
  <c r="F25"/>
  <c r="D26"/>
  <c r="H26"/>
  <c r="F27"/>
  <c r="D28"/>
  <c r="H28"/>
  <c r="F29"/>
  <c r="E9"/>
  <c r="E11"/>
  <c r="E13"/>
  <c r="E15"/>
  <c r="E17"/>
  <c r="E19"/>
  <c r="C22"/>
  <c r="E23"/>
  <c r="G26"/>
  <c r="C9"/>
  <c r="G9"/>
  <c r="E10"/>
  <c r="C11"/>
  <c r="G11"/>
  <c r="E12"/>
  <c r="C13"/>
  <c r="G13"/>
  <c r="E14"/>
  <c r="C15"/>
  <c r="G15"/>
  <c r="E16"/>
  <c r="C17"/>
  <c r="G17"/>
  <c r="E18"/>
  <c r="C19"/>
  <c r="G19"/>
  <c r="E20"/>
  <c r="C21"/>
  <c r="G21"/>
  <c r="E22"/>
  <c r="C23"/>
  <c r="G23"/>
  <c r="E24"/>
  <c r="C25"/>
  <c r="G25"/>
  <c r="E26"/>
  <c r="C27"/>
  <c r="G27"/>
  <c r="E28"/>
  <c r="C29"/>
  <c r="G29"/>
  <c r="C10"/>
  <c r="C12"/>
  <c r="C14"/>
  <c r="G16"/>
  <c r="G18"/>
  <c r="G20"/>
  <c r="G24"/>
  <c r="D9"/>
  <c r="H9"/>
  <c r="F10"/>
  <c r="D11"/>
  <c r="H11"/>
  <c r="F12"/>
  <c r="D13"/>
  <c r="H13"/>
  <c r="F14"/>
  <c r="D15"/>
  <c r="H15"/>
  <c r="F16"/>
  <c r="D17"/>
  <c r="H17"/>
  <c r="F18"/>
  <c r="D19"/>
  <c r="H19"/>
  <c r="F20"/>
  <c r="D21"/>
  <c r="H21"/>
  <c r="F22"/>
  <c r="D23"/>
  <c r="H23"/>
  <c r="F24"/>
  <c r="D25"/>
  <c r="H25"/>
  <c r="F26"/>
  <c r="D27"/>
  <c r="H27"/>
  <c r="F28"/>
  <c r="D29"/>
  <c r="H29"/>
  <c r="E8"/>
  <c r="F8"/>
  <c r="G8"/>
  <c r="H8"/>
  <c r="D8"/>
  <c r="E1" l="1"/>
  <c r="G1" l="1"/>
  <c r="A6" l="1"/>
  <c r="I1"/>
  <c r="F1"/>
  <c r="H1" s="1"/>
  <c r="A5" l="1"/>
  <c r="G2" l="1"/>
  <c r="I2" s="1"/>
  <c r="F2"/>
  <c r="H2" s="1"/>
  <c r="E2"/>
</calcChain>
</file>

<file path=xl/sharedStrings.xml><?xml version="1.0" encoding="utf-8"?>
<sst xmlns="http://schemas.openxmlformats.org/spreadsheetml/2006/main" count="142" uniqueCount="64">
  <si>
    <t>(PESOS)</t>
  </si>
  <si>
    <t>GOBIERNO DEL ESTADO DE MICHOACÁN DE OCAMPO</t>
  </si>
  <si>
    <t>ZID</t>
  </si>
  <si>
    <t>Concepto</t>
  </si>
  <si>
    <t>2019</t>
  </si>
  <si>
    <t>2020</t>
  </si>
  <si>
    <t>2021</t>
  </si>
  <si>
    <t>2022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</si>
  <si>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</si>
  <si>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</si>
  <si>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</si>
  <si>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</si>
  <si>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</si>
  <si>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</si>
  <si>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</si>
  <si>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</si>
  <si>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</si>
  <si>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</si>
  <si>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</si>
  <si>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</si>
  <si>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</si>
  <si>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</si>
  <si>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</si>
  <si>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</si>
  <si>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</si>
  <si>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</si>
  <si>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</si>
  <si>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</si>
  <si>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</si>
  <si>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2023</t>
  </si>
  <si>
    <t>001.2018..012.2018</t>
  </si>
  <si>
    <t>Proyecciones de Egresos - LDF</t>
  </si>
  <si>
    <t>GASTO NO ETIQUETADO</t>
  </si>
  <si>
    <t>SERVICIOS PERONALES</t>
  </si>
  <si>
    <t>MATERIALES Y SUMINISTROS</t>
  </si>
  <si>
    <t>SERVICIOS GENERALES</t>
  </si>
  <si>
    <t>TRANSFERENCIAS, ASIGNACIONES, SUBSIDIOS Y OTRAS AYUDAS</t>
  </si>
  <si>
    <t>BIENES MUEBLES E INMUEBLES E INTANGIBLES</t>
  </si>
  <si>
    <t>INVERSION PUBLICA</t>
  </si>
  <si>
    <t>INVERSIONES FINANCIERAS Y OTRAS PROVISIONES</t>
  </si>
  <si>
    <t>PARTICIPACIONES Y APORTACIONES A MUNICIPIOS</t>
  </si>
  <si>
    <t>DEUDA PUBLICA</t>
  </si>
  <si>
    <t>GASTO ETIQUETADO</t>
  </si>
  <si>
    <t>TOTAL EGRESOS PROYECTADOS</t>
  </si>
  <si>
    <t>A.</t>
  </si>
  <si>
    <t>Servicios Peronales</t>
  </si>
  <si>
    <t>B.</t>
  </si>
  <si>
    <t>Materiales y Suministros</t>
  </si>
  <si>
    <t xml:space="preserve">C. </t>
  </si>
  <si>
    <t>Servicios Generales</t>
  </si>
  <si>
    <t>D.</t>
  </si>
  <si>
    <t>Transferencias, Asignaciones, Subsidios y Otras Ayudas</t>
  </si>
  <si>
    <t>E.</t>
  </si>
  <si>
    <t xml:space="preserve">Bienes Muebles e Inmuebles e Intangibles  </t>
  </si>
  <si>
    <t>F.</t>
  </si>
  <si>
    <t>Inversion Publica</t>
  </si>
  <si>
    <t xml:space="preserve">G. </t>
  </si>
  <si>
    <t xml:space="preserve">Inversiones Financieras y Otras provisiones  </t>
  </si>
  <si>
    <t>H.</t>
  </si>
  <si>
    <t xml:space="preserve">Participaciones y Aportaciones a Municipios  </t>
  </si>
  <si>
    <t>I.</t>
  </si>
  <si>
    <t>Deuda Publica</t>
  </si>
  <si>
    <t>Año en Cuestión
    2018</t>
  </si>
  <si>
    <t>30/01/2019</t>
  </si>
</sst>
</file>

<file path=xl/styles.xml><?xml version="1.0" encoding="utf-8"?>
<styleSheet xmlns="http://schemas.openxmlformats.org/spreadsheetml/2006/main">
  <numFmts count="4">
    <numFmt numFmtId="164" formatCode="#,##0.0000000;\-\ #,##0.0000000"/>
    <numFmt numFmtId="165" formatCode="#,##0.0000000"/>
    <numFmt numFmtId="166" formatCode="#,##0.000"/>
    <numFmt numFmtId="167" formatCode="#,##0.000;\-\ #,##0.000"/>
  </numFmts>
  <fonts count="34"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8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9" applyNumberFormat="0" applyAlignment="0" applyProtection="0"/>
    <xf numFmtId="0" fontId="16" fillId="3" borderId="14" applyNumberFormat="0" applyAlignment="0" applyProtection="0"/>
    <xf numFmtId="0" fontId="7" fillId="3" borderId="9" applyNumberFormat="0" applyAlignment="0" applyProtection="0"/>
    <xf numFmtId="0" fontId="9" fillId="0" borderId="11" applyNumberFormat="0" applyFill="0" applyAlignment="0" applyProtection="0"/>
    <xf numFmtId="0" fontId="8" fillId="4" borderId="10" applyNumberFormat="0" applyAlignment="0" applyProtection="0"/>
    <xf numFmtId="0" fontId="25" fillId="0" borderId="0" applyNumberFormat="0" applyFill="0" applyBorder="0" applyAlignment="0" applyProtection="0"/>
    <xf numFmtId="0" fontId="15" fillId="7" borderId="13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0" applyNumberFormat="0" applyFill="0" applyAlignment="0" applyProtection="0"/>
    <xf numFmtId="4" fontId="17" fillId="8" borderId="15" applyNumberFormat="0" applyProtection="0">
      <alignment vertical="center"/>
    </xf>
    <xf numFmtId="4" fontId="18" fillId="8" borderId="15" applyNumberFormat="0" applyProtection="0">
      <alignment vertical="center"/>
    </xf>
    <xf numFmtId="4" fontId="17" fillId="8" borderId="15" applyNumberFormat="0" applyProtection="0">
      <alignment horizontal="left" vertical="center" indent="1"/>
    </xf>
    <xf numFmtId="0" fontId="17" fillId="8" borderId="15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2" borderId="15" applyNumberFormat="0" applyProtection="0">
      <alignment horizontal="right" vertical="center"/>
    </xf>
    <xf numFmtId="4" fontId="19" fillId="13" borderId="15" applyNumberFormat="0" applyProtection="0">
      <alignment horizontal="right" vertical="center"/>
    </xf>
    <xf numFmtId="4" fontId="19" fillId="14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6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7" fillId="19" borderId="16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15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5" fillId="21" borderId="15" applyNumberFormat="0" applyProtection="0">
      <alignment horizontal="left" vertical="center" indent="1"/>
    </xf>
    <xf numFmtId="0" fontId="15" fillId="21" borderId="15" applyNumberFormat="0" applyProtection="0">
      <alignment horizontal="left" vertical="top" indent="1"/>
    </xf>
    <xf numFmtId="0" fontId="15" fillId="9" borderId="15" applyNumberFormat="0" applyProtection="0">
      <alignment horizontal="left" vertical="center" indent="1"/>
    </xf>
    <xf numFmtId="0" fontId="15" fillId="9" borderId="15" applyNumberFormat="0" applyProtection="0">
      <alignment horizontal="left" vertical="top" indent="1"/>
    </xf>
    <xf numFmtId="0" fontId="15" fillId="22" borderId="15" applyNumberFormat="0" applyProtection="0">
      <alignment horizontal="left" vertical="center" indent="1"/>
    </xf>
    <xf numFmtId="0" fontId="15" fillId="22" borderId="15" applyNumberFormat="0" applyProtection="0">
      <alignment horizontal="left" vertical="top" indent="1"/>
    </xf>
    <xf numFmtId="0" fontId="15" fillId="20" borderId="15" applyNumberFormat="0" applyProtection="0">
      <alignment horizontal="left" vertical="center" indent="1"/>
    </xf>
    <xf numFmtId="0" fontId="15" fillId="20" borderId="15" applyNumberFormat="0" applyProtection="0">
      <alignment horizontal="left" vertical="top" indent="1"/>
    </xf>
    <xf numFmtId="0" fontId="15" fillId="23" borderId="17" applyNumberFormat="0">
      <protection locked="0"/>
    </xf>
    <xf numFmtId="4" fontId="19" fillId="24" borderId="15" applyNumberFormat="0" applyProtection="0">
      <alignment vertical="center"/>
    </xf>
    <xf numFmtId="4" fontId="21" fillId="24" borderId="15" applyNumberFormat="0" applyProtection="0">
      <alignment vertical="center"/>
    </xf>
    <xf numFmtId="4" fontId="19" fillId="24" borderId="15" applyNumberFormat="0" applyProtection="0">
      <alignment horizontal="left" vertical="center" indent="1"/>
    </xf>
    <xf numFmtId="0" fontId="19" fillId="24" borderId="15" applyNumberFormat="0" applyProtection="0">
      <alignment horizontal="left" vertical="top" indent="1"/>
    </xf>
    <xf numFmtId="4" fontId="19" fillId="20" borderId="15" applyNumberFormat="0" applyProtection="0">
      <alignment horizontal="right" vertical="center"/>
    </xf>
    <xf numFmtId="4" fontId="21" fillId="20" borderId="15" applyNumberFormat="0" applyProtection="0">
      <alignment horizontal="right" vertical="center"/>
    </xf>
    <xf numFmtId="4" fontId="19" fillId="9" borderId="15" applyNumberFormat="0" applyProtection="0">
      <alignment horizontal="left" vertical="center" indent="1"/>
    </xf>
    <xf numFmtId="0" fontId="19" fillId="9" borderId="15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15" applyNumberFormat="0" applyProtection="0">
      <alignment horizontal="right" vertical="center"/>
    </xf>
    <xf numFmtId="0" fontId="2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0" xfId="0" applyFont="1" applyFill="1" applyAlignment="1">
      <alignment horizontal="justify" vertical="center"/>
    </xf>
    <xf numFmtId="0" fontId="5" fillId="0" borderId="0" xfId="0" applyFont="1" applyFill="1"/>
    <xf numFmtId="0" fontId="2" fillId="0" borderId="0" xfId="0" applyFont="1" applyAlignment="1"/>
    <xf numFmtId="0" fontId="30" fillId="0" borderId="0" xfId="0" quotePrefix="1" applyFont="1" applyAlignment="1"/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quotePrefix="1" applyFont="1" applyAlignment="1">
      <alignment vertical="center"/>
    </xf>
    <xf numFmtId="0" fontId="31" fillId="0" borderId="0" xfId="0" quotePrefix="1" applyFont="1" applyAlignment="1"/>
    <xf numFmtId="0" fontId="31" fillId="0" borderId="0" xfId="0" applyFont="1"/>
    <xf numFmtId="0" fontId="19" fillId="9" borderId="15" xfId="53" quotePrefix="1" applyNumberFormat="1">
      <alignment horizontal="left" vertical="center" indent="1"/>
    </xf>
    <xf numFmtId="164" fontId="19" fillId="20" borderId="15" xfId="51" applyNumberFormat="1">
      <alignment horizontal="right" vertical="center"/>
    </xf>
    <xf numFmtId="165" fontId="19" fillId="20" borderId="15" xfId="51" applyNumberFormat="1">
      <alignment horizontal="right" vertical="center"/>
    </xf>
    <xf numFmtId="166" fontId="19" fillId="20" borderId="15" xfId="51" applyNumberFormat="1">
      <alignment horizontal="right" vertical="center"/>
    </xf>
    <xf numFmtId="167" fontId="19" fillId="20" borderId="15" xfId="51" applyNumberFormat="1">
      <alignment horizontal="right" vertical="center"/>
    </xf>
    <xf numFmtId="0" fontId="17" fillId="9" borderId="0" xfId="22" quotePrefix="1" applyNumberFormat="1" applyAlignment="1">
      <alignment horizontal="left" vertical="center" indent="1"/>
    </xf>
    <xf numFmtId="0" fontId="19" fillId="9" borderId="15" xfId="53" quotePrefix="1" applyNumberFormat="1" applyAlignment="1">
      <alignment horizontal="left" vertical="center" wrapText="1" indent="1"/>
    </xf>
    <xf numFmtId="0" fontId="2" fillId="0" borderId="0" xfId="0" quotePrefix="1" applyFont="1" applyAlignment="1"/>
    <xf numFmtId="0" fontId="33" fillId="0" borderId="21" xfId="0" applyFont="1" applyFill="1" applyBorder="1"/>
    <xf numFmtId="0" fontId="33" fillId="0" borderId="21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3" fontId="32" fillId="0" borderId="21" xfId="0" applyNumberFormat="1" applyFont="1" applyBorder="1"/>
    <xf numFmtId="3" fontId="0" fillId="0" borderId="21" xfId="0" applyNumberFormat="1" applyBorder="1"/>
    <xf numFmtId="0" fontId="32" fillId="0" borderId="2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6" borderId="6" xfId="0" applyFont="1" applyFill="1" applyBorder="1" applyAlignment="1">
      <alignment horizontal="center" vertical="center"/>
    </xf>
    <xf numFmtId="0" fontId="3" fillId="26" borderId="7" xfId="0" applyFont="1" applyFill="1" applyBorder="1" applyAlignment="1">
      <alignment horizontal="center" vertical="center"/>
    </xf>
    <xf numFmtId="0" fontId="3" fillId="26" borderId="8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</cellXfs>
  <cellStyles count="58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19050</xdr:rowOff>
    </xdr:from>
    <xdr:to>
      <xdr:col>1</xdr:col>
      <xdr:colOff>2658427</xdr:colOff>
      <xdr:row>4</xdr:row>
      <xdr:rowOff>556942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C73F9C28-7BF2-44C7-88FC-40E42683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2824162" cy="93794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1416050</xdr:colOff>
      <xdr:row>0</xdr:row>
      <xdr:rowOff>149225</xdr:rowOff>
    </xdr:to>
    <xdr:pic macro="[1]!DesignIconClicked">
      <xdr:nvPicPr>
        <xdr:cNvPr id="8" name="BExSE1016LJRNU1YVL4OA2DAXDJE" hidden="1">
          <a:extLst>
            <a:ext uri="{FF2B5EF4-FFF2-40B4-BE49-F238E27FC236}">
              <a16:creationId xmlns:a16="http://schemas.microsoft.com/office/drawing/2014/main" xmlns="" id="{ED9B8E22-19A1-4198-934D-1104C1C43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0"/>
          <a:ext cx="1416050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273050</xdr:colOff>
      <xdr:row>0</xdr:row>
      <xdr:rowOff>149225</xdr:rowOff>
    </xdr:to>
    <xdr:pic macro="[1]!DesignIconClicked">
      <xdr:nvPicPr>
        <xdr:cNvPr id="4" name="BEx3NB1C0EWSA0O8OPTZP9Y3YG2Y" hidden="1">
          <a:extLst>
            <a:ext uri="{FF2B5EF4-FFF2-40B4-BE49-F238E27FC236}">
              <a16:creationId xmlns:a16="http://schemas.microsoft.com/office/drawing/2014/main" xmlns="" id="{C6C47D35-26D2-4C6D-B83C-3A12D696A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05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6350</xdr:colOff>
      <xdr:row>21</xdr:row>
      <xdr:rowOff>49212</xdr:rowOff>
    </xdr:to>
    <xdr:pic macro="[1]!DesignIconClicked">
      <xdr:nvPicPr>
        <xdr:cNvPr id="3" name="BExBBLT4HHALTM6I9UYRHBC6OQ6Q" hidden="1">
          <a:extLst>
            <a:ext uri="{FF2B5EF4-FFF2-40B4-BE49-F238E27FC236}">
              <a16:creationId xmlns:a16="http://schemas.microsoft.com/office/drawing/2014/main" xmlns="" id="{6E760B2D-9D88-4440-94B4-80AE3CE19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60475" cy="354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1482725</xdr:colOff>
      <xdr:row>21</xdr:row>
      <xdr:rowOff>149225</xdr:rowOff>
    </xdr:to>
    <xdr:pic macro="[1]!DesignIconClicked">
      <xdr:nvPicPr>
        <xdr:cNvPr id="2" name="BEx97ZEDFSF5DU1CCOZ399LNMUT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83850" cy="35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19" name="BExS9ED69SBVBMH1TDSS8LKJ9QE6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20" name="BExDAKOH752RHAQ7MISNLYY5VVUO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0</xdr:row>
      <xdr:rowOff>12700</xdr:rowOff>
    </xdr:from>
    <xdr:to>
      <xdr:col>1</xdr:col>
      <xdr:colOff>76200</xdr:colOff>
      <xdr:row>0</xdr:row>
      <xdr:rowOff>63500</xdr:rowOff>
    </xdr:to>
    <xdr:pic macro="[1]!DesignIconClicked">
      <xdr:nvPicPr>
        <xdr:cNvPr id="21" name="BExOGVQ0VKLFV26TABFV35F55VKM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25400</xdr:colOff>
      <xdr:row>0</xdr:row>
      <xdr:rowOff>88900</xdr:rowOff>
    </xdr:from>
    <xdr:to>
      <xdr:col>1</xdr:col>
      <xdr:colOff>76200</xdr:colOff>
      <xdr:row>0</xdr:row>
      <xdr:rowOff>139700</xdr:rowOff>
    </xdr:to>
    <xdr:pic macro="[1]!DesignIconClicked">
      <xdr:nvPicPr>
        <xdr:cNvPr id="22" name="BExGVRFQ9YUFE2GBN0BVVM754K8I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7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23" name="BExBEDLW2PPVX5XNEOZLSIK7EZ2L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24" name="BExZS6W1213UI3NKYVUZ3GRGX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9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12700</xdr:rowOff>
    </xdr:from>
    <xdr:to>
      <xdr:col>3</xdr:col>
      <xdr:colOff>79375</xdr:colOff>
      <xdr:row>0</xdr:row>
      <xdr:rowOff>63500</xdr:rowOff>
    </xdr:to>
    <xdr:pic macro="[1]!DesignIconClicked">
      <xdr:nvPicPr>
        <xdr:cNvPr id="25" name="BExZJ42AD68YTNMHIIX85LMLL9G5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28575</xdr:colOff>
      <xdr:row>0</xdr:row>
      <xdr:rowOff>88900</xdr:rowOff>
    </xdr:from>
    <xdr:to>
      <xdr:col>3</xdr:col>
      <xdr:colOff>79375</xdr:colOff>
      <xdr:row>0</xdr:row>
      <xdr:rowOff>139700</xdr:rowOff>
    </xdr:to>
    <xdr:pic macro="[1]!DesignIconClicked">
      <xdr:nvPicPr>
        <xdr:cNvPr id="26" name="BExSAWWUOURSZ95U9SGR8H3UIGZE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</xdr:colOff>
      <xdr:row>0</xdr:row>
      <xdr:rowOff>12700</xdr:rowOff>
    </xdr:from>
    <xdr:to>
      <xdr:col>4</xdr:col>
      <xdr:colOff>82550</xdr:colOff>
      <xdr:row>0</xdr:row>
      <xdr:rowOff>63500</xdr:rowOff>
    </xdr:to>
    <xdr:pic macro="[1]!DesignIconClicked">
      <xdr:nvPicPr>
        <xdr:cNvPr id="27" name="BEx7JA7GUQ3QKKJSZKYQTCTC2MVK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6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31750</xdr:colOff>
      <xdr:row>0</xdr:row>
      <xdr:rowOff>88900</xdr:rowOff>
    </xdr:from>
    <xdr:to>
      <xdr:col>4</xdr:col>
      <xdr:colOff>82550</xdr:colOff>
      <xdr:row>0</xdr:row>
      <xdr:rowOff>139700</xdr:rowOff>
    </xdr:to>
    <xdr:pic macro="[1]!DesignIconClicked">
      <xdr:nvPicPr>
        <xdr:cNvPr id="28" name="BExGKV4PLXPJYA8H3920SX6HPUR6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46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29" name="BExB6SA2YVRB0J3HA1FDZQGNCIM4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2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30" name="BExINDDNP7N3UI898XUTLUVPK2W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32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12700</xdr:rowOff>
    </xdr:from>
    <xdr:to>
      <xdr:col>6</xdr:col>
      <xdr:colOff>76200</xdr:colOff>
      <xdr:row>0</xdr:row>
      <xdr:rowOff>63500</xdr:rowOff>
    </xdr:to>
    <xdr:pic macro="[1]!DesignIconClicked">
      <xdr:nvPicPr>
        <xdr:cNvPr id="31" name="BExXODFSC2VAMKYFEWXQRKJLZZMJ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1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88900</xdr:rowOff>
    </xdr:from>
    <xdr:to>
      <xdr:col>6</xdr:col>
      <xdr:colOff>76200</xdr:colOff>
      <xdr:row>0</xdr:row>
      <xdr:rowOff>139700</xdr:rowOff>
    </xdr:to>
    <xdr:pic macro="[1]!DesignIconClicked">
      <xdr:nvPicPr>
        <xdr:cNvPr id="32" name="BEx7H7QBFPQJATWNJZ940SFT4S3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1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33" name="BEx76HKG4LG5NSCHKJYB7IQN47YM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34" name="BEx7C40FQBJAX1K0Y1KQ2GX1UJ26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297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showGridLines="0" tabSelected="1" workbookViewId="0">
      <selection activeCell="A8" sqref="A8:B8"/>
    </sheetView>
  </sheetViews>
  <sheetFormatPr baseColWidth="10" defaultColWidth="11.42578125" defaultRowHeight="11.25"/>
  <cols>
    <col min="1" max="1" width="4.28515625" style="1" customWidth="1"/>
    <col min="2" max="2" width="46.28515625" style="1" customWidth="1"/>
    <col min="3" max="3" width="16.140625" style="1" customWidth="1"/>
    <col min="4" max="4" width="21.42578125" style="1" bestFit="1" customWidth="1"/>
    <col min="5" max="8" width="19.7109375" style="1" bestFit="1" customWidth="1"/>
    <col min="9" max="9" width="17.28515625" style="1" bestFit="1" customWidth="1"/>
    <col min="10" max="10" width="11.7109375" style="1" customWidth="1"/>
    <col min="11" max="16384" width="11.42578125" style="1"/>
  </cols>
  <sheetData>
    <row r="1" spans="1:9" s="11" customFormat="1" ht="12.75">
      <c r="A1" s="10" t="s">
        <v>30</v>
      </c>
      <c r="B1" s="10"/>
      <c r="D1" s="10" t="s">
        <v>63</v>
      </c>
      <c r="E1" s="8" t="str">
        <f>MID(A1,5,4)</f>
        <v>2018</v>
      </c>
      <c r="F1" s="9" t="str">
        <f>MID(A1,1,3)</f>
        <v>001</v>
      </c>
      <c r="G1" s="8" t="str">
        <f>MID(A1,11,3)</f>
        <v>012</v>
      </c>
      <c r="H1" s="8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Enero</v>
      </c>
      <c r="I1" s="8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</row>
    <row r="2" spans="1:9" ht="13.5" thickBot="1">
      <c r="A2" s="5"/>
      <c r="B2" s="5"/>
      <c r="D2" s="19"/>
      <c r="E2" s="6" t="str">
        <f>MID(A2,5,4)</f>
        <v/>
      </c>
      <c r="F2" s="7" t="str">
        <f>MID(A2,1,3)</f>
        <v/>
      </c>
      <c r="G2" s="7" t="str">
        <f>MID(A2,11,3)</f>
        <v/>
      </c>
      <c r="H2" s="7" t="str">
        <f>IF(F2="001","Enero",IF(F2="002","Febrero",IF(F2="003","Marzo",IF(F2="004","Abril",IF(F2="005","Mayo",IF(F2="006","Junio",IF(F2="007","Julio",IF(F2="008","Agosto",IF(F2="009","Septiembre",IF(F2="010","Octubre",IF(F2="011","Noviembre","Diciembre")))))))))))</f>
        <v>Diciembre</v>
      </c>
      <c r="I2" s="7" t="str">
        <f>IF(G2="001","Enero",IF(G2="002","Febrero",IF(G2="003","Marzo",IF(G2="004","Abril",IF(G2="005","Mayo",IF(G2="006","Junio",IF(G2="007","Julio",IF(G2="008","Agosto",IF(G2="009","Septiembre",IF(G2="010","Octubre",IF(G2="011","Noviembre","Diciembre")))))))))))</f>
        <v>Diciembre</v>
      </c>
    </row>
    <row r="3" spans="1:9" ht="15.75">
      <c r="A3" s="28" t="s">
        <v>1</v>
      </c>
      <c r="B3" s="29"/>
      <c r="C3" s="29"/>
      <c r="D3" s="29"/>
      <c r="E3" s="29"/>
      <c r="F3" s="29"/>
      <c r="G3" s="29"/>
      <c r="H3" s="30"/>
    </row>
    <row r="4" spans="1:9" ht="15.75">
      <c r="A4" s="31" t="s">
        <v>31</v>
      </c>
      <c r="B4" s="32"/>
      <c r="C4" s="32"/>
      <c r="D4" s="32"/>
      <c r="E4" s="32"/>
      <c r="F4" s="32"/>
      <c r="G4" s="32"/>
      <c r="H4" s="33"/>
    </row>
    <row r="5" spans="1:9" ht="45" customHeight="1" thickBot="1">
      <c r="A5" s="34" t="str">
        <f>CONCATENATE("Del ",1," de ", H1, " al ",DAY(EOMONTH(DATE(E1,G1,1),0))," de ",I1," del ",E1)</f>
        <v>Del 1 de Enero al 31 de Diciembre del 2018</v>
      </c>
      <c r="B5" s="35"/>
      <c r="C5" s="35"/>
      <c r="D5" s="35"/>
      <c r="E5" s="35"/>
      <c r="F5" s="35"/>
      <c r="G5" s="35"/>
      <c r="H5" s="36"/>
    </row>
    <row r="6" spans="1:9" ht="12.75" customHeight="1">
      <c r="A6" s="40" t="str">
        <f>CONCATENATE("Elaborado el ",MID(D1,1,2), " de ",IF(MID(D1,4,2)="01","Enero",IF(MID(D1,4,2)="02","Febrero",IF(MID(D1,4,2)="03","Marzo",IF(MID(D1,4,2)="04","Abril",IF(MID(D1,4,2)="05","Mayo",IF(MID(D1,4,2)="06","Junio",IF(MID(D1,4,2)="07","Julio",IF(MID(D1,4,2)="08","Agosto",IF(MID(D1,4,2)="09","Septiembre",IF(MID(D1,4,2)="10","Octubre",IF(MID(D1,4,2)="11","Noviembre","Diciembre")))))))))))," del ",MID(D1,7,4))</f>
        <v>Elaborado el 30 de Enero del 2019</v>
      </c>
      <c r="B6" s="41"/>
      <c r="C6" s="41"/>
      <c r="D6" s="41"/>
      <c r="E6" s="41"/>
      <c r="F6" s="41"/>
      <c r="G6" s="41"/>
      <c r="H6" s="42"/>
    </row>
    <row r="7" spans="1:9" ht="12" thickBot="1">
      <c r="A7" s="37" t="s">
        <v>0</v>
      </c>
      <c r="B7" s="38"/>
      <c r="C7" s="38"/>
      <c r="D7" s="38"/>
      <c r="E7" s="38"/>
      <c r="F7" s="38"/>
      <c r="G7" s="38"/>
      <c r="H7" s="39"/>
    </row>
    <row r="8" spans="1:9" ht="52.15" customHeight="1">
      <c r="A8" s="26" t="s">
        <v>3</v>
      </c>
      <c r="B8" s="27"/>
      <c r="C8" s="22" t="str">
        <f>CONCATENATE(MID(fuente1!C1,1,15)," (de Proyecto de Presupuestos) ",MID(fuente1!C1,21,4))</f>
        <v>Año en Cuestión (de Proyecto de Presupuestos) 2018</v>
      </c>
      <c r="D8" s="22" t="str">
        <f>fuente1!D1</f>
        <v>2019</v>
      </c>
      <c r="E8" s="22" t="str">
        <f>fuente1!E1</f>
        <v>2020</v>
      </c>
      <c r="F8" s="22" t="str">
        <f>fuente1!F1</f>
        <v>2021</v>
      </c>
      <c r="G8" s="22" t="str">
        <f>fuente1!G1</f>
        <v>2022</v>
      </c>
      <c r="H8" s="22" t="str">
        <f>fuente1!H1</f>
        <v>2023</v>
      </c>
    </row>
    <row r="9" spans="1:9" ht="12.75">
      <c r="A9" s="25" t="str">
        <f>fuente1!B2</f>
        <v>GASTO NO ETIQUETADO</v>
      </c>
      <c r="B9" s="25"/>
      <c r="C9" s="23">
        <f>fuente1!C2</f>
        <v>28357268955</v>
      </c>
      <c r="D9" s="23">
        <f>fuente1!D2</f>
        <v>29518350974</v>
      </c>
      <c r="E9" s="23">
        <f>fuente1!E2</f>
        <v>30655127362</v>
      </c>
      <c r="F9" s="23">
        <f>fuente1!F2</f>
        <v>31965164240</v>
      </c>
      <c r="G9" s="23">
        <f>fuente1!G2</f>
        <v>33363189857</v>
      </c>
      <c r="H9" s="23">
        <f>fuente1!H2</f>
        <v>34827313061</v>
      </c>
      <c r="I9"/>
    </row>
    <row r="10" spans="1:9" ht="12.75">
      <c r="A10" s="20" t="s">
        <v>44</v>
      </c>
      <c r="B10" s="21" t="s">
        <v>45</v>
      </c>
      <c r="C10" s="24">
        <f>fuente1!C3</f>
        <v>8179681491</v>
      </c>
      <c r="D10" s="24">
        <f>fuente1!D3</f>
        <v>8560854648</v>
      </c>
      <c r="E10" s="24">
        <f>fuente1!E3</f>
        <v>8886167125</v>
      </c>
      <c r="F10" s="24">
        <f>fuente1!F3</f>
        <v>9339361648</v>
      </c>
      <c r="G10" s="24">
        <f>fuente1!G3</f>
        <v>9796990369</v>
      </c>
      <c r="H10" s="24">
        <f>fuente1!H3</f>
        <v>10272144402</v>
      </c>
      <c r="I10"/>
    </row>
    <row r="11" spans="1:9" ht="12.75">
      <c r="A11" s="20" t="s">
        <v>46</v>
      </c>
      <c r="B11" s="21" t="s">
        <v>47</v>
      </c>
      <c r="C11" s="24">
        <f>fuente1!C4</f>
        <v>745326831</v>
      </c>
      <c r="D11" s="24">
        <f>fuente1!D4</f>
        <v>767686636</v>
      </c>
      <c r="E11" s="24">
        <f>fuente1!E4</f>
        <v>790717235</v>
      </c>
      <c r="F11" s="24">
        <f>fuente1!F4</f>
        <v>814438752</v>
      </c>
      <c r="G11" s="24">
        <f>fuente1!G4</f>
        <v>838871915</v>
      </c>
      <c r="H11" s="24">
        <f>fuente1!H4</f>
        <v>864038072</v>
      </c>
      <c r="I11"/>
    </row>
    <row r="12" spans="1:9" ht="12.75">
      <c r="A12" s="20" t="s">
        <v>48</v>
      </c>
      <c r="B12" s="21" t="s">
        <v>49</v>
      </c>
      <c r="C12" s="24">
        <f>fuente1!C5</f>
        <v>1545093797</v>
      </c>
      <c r="D12" s="24">
        <f>fuente1!D5</f>
        <v>1591446611</v>
      </c>
      <c r="E12" s="24">
        <f>fuente1!E5</f>
        <v>1639190009</v>
      </c>
      <c r="F12" s="24">
        <f>fuente1!F5</f>
        <v>1688365710</v>
      </c>
      <c r="G12" s="24">
        <f>fuente1!G5</f>
        <v>1739016681</v>
      </c>
      <c r="H12" s="24">
        <f>fuente1!H5</f>
        <v>1791187181</v>
      </c>
      <c r="I12"/>
    </row>
    <row r="13" spans="1:9" ht="12.75">
      <c r="A13" s="20" t="s">
        <v>50</v>
      </c>
      <c r="B13" s="21" t="s">
        <v>51</v>
      </c>
      <c r="C13" s="24">
        <f>fuente1!C6</f>
        <v>9679961537</v>
      </c>
      <c r="D13" s="24">
        <f>fuente1!D6</f>
        <v>10067159998</v>
      </c>
      <c r="E13" s="24">
        <f>fuente1!E6</f>
        <v>10469846398</v>
      </c>
      <c r="F13" s="24">
        <f>fuente1!F6</f>
        <v>10888640254</v>
      </c>
      <c r="G13" s="24">
        <f>fuente1!G6</f>
        <v>11324185865</v>
      </c>
      <c r="H13" s="24">
        <f>fuente1!H6</f>
        <v>11777153299</v>
      </c>
      <c r="I13"/>
    </row>
    <row r="14" spans="1:9" ht="12.75">
      <c r="A14" s="20" t="s">
        <v>52</v>
      </c>
      <c r="B14" s="21" t="s">
        <v>53</v>
      </c>
      <c r="C14" s="24">
        <f>fuente1!C7</f>
        <v>4469855</v>
      </c>
      <c r="D14" s="24">
        <f>fuente1!D7</f>
        <v>0</v>
      </c>
      <c r="E14" s="24">
        <f>fuente1!E7</f>
        <v>0</v>
      </c>
      <c r="F14" s="24">
        <f>fuente1!F7</f>
        <v>0</v>
      </c>
      <c r="G14" s="24">
        <f>fuente1!G7</f>
        <v>0</v>
      </c>
      <c r="H14" s="24">
        <f>fuente1!H7</f>
        <v>0</v>
      </c>
      <c r="I14"/>
    </row>
    <row r="15" spans="1:9" ht="12.75">
      <c r="A15" s="20" t="s">
        <v>54</v>
      </c>
      <c r="B15" s="21" t="s">
        <v>55</v>
      </c>
      <c r="C15" s="24">
        <f>fuente1!C8</f>
        <v>891347462</v>
      </c>
      <c r="D15" s="24">
        <f>fuente1!D8</f>
        <v>891347462</v>
      </c>
      <c r="E15" s="24">
        <f>fuente1!E8</f>
        <v>902043632</v>
      </c>
      <c r="F15" s="24">
        <f>fuente1!F8</f>
        <v>933615159</v>
      </c>
      <c r="G15" s="24">
        <f>fuente1!G8</f>
        <v>973293803</v>
      </c>
      <c r="H15" s="24">
        <f>fuente1!H8</f>
        <v>1017092024</v>
      </c>
      <c r="I15"/>
    </row>
    <row r="16" spans="1:9" ht="12.75">
      <c r="A16" s="20" t="s">
        <v>56</v>
      </c>
      <c r="B16" s="21" t="s">
        <v>57</v>
      </c>
      <c r="C16" s="24">
        <f>fuente1!C9</f>
        <v>86001452</v>
      </c>
      <c r="D16" s="24">
        <f>fuente1!D9</f>
        <v>86388459</v>
      </c>
      <c r="E16" s="24">
        <f>fuente1!E9</f>
        <v>87079566</v>
      </c>
      <c r="F16" s="24">
        <f>fuente1!F9</f>
        <v>87645583</v>
      </c>
      <c r="G16" s="24">
        <f>fuente1!G9</f>
        <v>88153928</v>
      </c>
      <c r="H16" s="24">
        <f>fuente1!H9</f>
        <v>89000205</v>
      </c>
      <c r="I16"/>
    </row>
    <row r="17" spans="1:10" ht="12.75">
      <c r="A17" s="20" t="s">
        <v>58</v>
      </c>
      <c r="B17" s="21" t="s">
        <v>59</v>
      </c>
      <c r="C17" s="24">
        <f>fuente1!C10</f>
        <v>5795655356</v>
      </c>
      <c r="D17" s="24">
        <f>fuente1!D10</f>
        <v>6040811578</v>
      </c>
      <c r="E17" s="24">
        <f>fuente1!E10</f>
        <v>6299358313</v>
      </c>
      <c r="F17" s="24">
        <f>fuente1!F10</f>
        <v>6565191234</v>
      </c>
      <c r="G17" s="24">
        <f>fuente1!G10</f>
        <v>6888855162</v>
      </c>
      <c r="H17" s="24">
        <f>fuente1!H10</f>
        <v>7232609034</v>
      </c>
      <c r="I17"/>
    </row>
    <row r="18" spans="1:10" ht="12.75">
      <c r="A18" s="20" t="s">
        <v>60</v>
      </c>
      <c r="B18" s="21" t="s">
        <v>61</v>
      </c>
      <c r="C18" s="24">
        <f>fuente1!C11</f>
        <v>1429731174</v>
      </c>
      <c r="D18" s="24">
        <f>fuente1!D11</f>
        <v>1512655582</v>
      </c>
      <c r="E18" s="24">
        <f>fuente1!E11</f>
        <v>1580725083</v>
      </c>
      <c r="F18" s="24">
        <f>fuente1!F11</f>
        <v>1647905899</v>
      </c>
      <c r="G18" s="24">
        <f>fuente1!G11</f>
        <v>1713822135</v>
      </c>
      <c r="H18" s="24">
        <f>fuente1!H11</f>
        <v>1784088843</v>
      </c>
      <c r="I18"/>
    </row>
    <row r="19" spans="1:10" ht="12.75">
      <c r="A19" s="25" t="str">
        <f>fuente1!B12</f>
        <v>GASTO ETIQUETADO</v>
      </c>
      <c r="B19" s="25"/>
      <c r="C19" s="23">
        <f>fuente1!C12</f>
        <v>37248143343</v>
      </c>
      <c r="D19" s="23">
        <f>fuente1!D12</f>
        <v>38995011254</v>
      </c>
      <c r="E19" s="23">
        <f>fuente1!E12</f>
        <v>41090705501</v>
      </c>
      <c r="F19" s="23">
        <f>fuente1!F12</f>
        <v>43701639602</v>
      </c>
      <c r="G19" s="23">
        <f>fuente1!G12</f>
        <v>45545297925</v>
      </c>
      <c r="H19" s="23">
        <f>fuente1!H12</f>
        <v>47707229993</v>
      </c>
      <c r="I19"/>
    </row>
    <row r="20" spans="1:10" ht="12.75">
      <c r="A20" s="20" t="s">
        <v>44</v>
      </c>
      <c r="B20" s="21" t="s">
        <v>45</v>
      </c>
      <c r="C20" s="24">
        <f>fuente1!C13</f>
        <v>17308147402</v>
      </c>
      <c r="D20" s="24">
        <f>fuente1!D13</f>
        <v>18043743667</v>
      </c>
      <c r="E20" s="24">
        <f>fuente1!E13</f>
        <v>18987431460</v>
      </c>
      <c r="F20" s="24">
        <f>fuente1!F13</f>
        <v>19917815602</v>
      </c>
      <c r="G20" s="24">
        <f>fuente1!G13</f>
        <v>20710544663</v>
      </c>
      <c r="H20" s="24">
        <f>fuente1!H13</f>
        <v>21673584990</v>
      </c>
      <c r="I20"/>
    </row>
    <row r="21" spans="1:10" ht="12.75">
      <c r="A21" s="20" t="s">
        <v>46</v>
      </c>
      <c r="B21" s="21" t="s">
        <v>47</v>
      </c>
      <c r="C21" s="24">
        <f>fuente1!C14</f>
        <v>158832825</v>
      </c>
      <c r="D21" s="24">
        <f>fuente1!D14</f>
        <v>163597810</v>
      </c>
      <c r="E21" s="24">
        <f>fuente1!E14</f>
        <v>168505744</v>
      </c>
      <c r="F21" s="24">
        <f>fuente1!F14</f>
        <v>173560916</v>
      </c>
      <c r="G21" s="24">
        <f>fuente1!G14</f>
        <v>178767744</v>
      </c>
      <c r="H21" s="24">
        <f>fuente1!H14</f>
        <v>184130776</v>
      </c>
      <c r="I21"/>
    </row>
    <row r="22" spans="1:10" ht="12.75">
      <c r="A22" s="20" t="s">
        <v>48</v>
      </c>
      <c r="B22" s="21" t="s">
        <v>49</v>
      </c>
      <c r="C22" s="24">
        <f>fuente1!C15</f>
        <v>514267234</v>
      </c>
      <c r="D22" s="24">
        <f>fuente1!D15</f>
        <v>529695251</v>
      </c>
      <c r="E22" s="24">
        <f>fuente1!E15</f>
        <v>545586109</v>
      </c>
      <c r="F22" s="24">
        <f>fuente1!F15</f>
        <v>561953692</v>
      </c>
      <c r="G22" s="24">
        <f>fuente1!G15</f>
        <v>578812303</v>
      </c>
      <c r="H22" s="24">
        <f>fuente1!H15</f>
        <v>596176672</v>
      </c>
      <c r="I22"/>
    </row>
    <row r="23" spans="1:10" ht="12.75">
      <c r="A23" s="20" t="s">
        <v>50</v>
      </c>
      <c r="B23" s="21" t="s">
        <v>51</v>
      </c>
      <c r="C23" s="24">
        <f>fuente1!C16</f>
        <v>11068213100</v>
      </c>
      <c r="D23" s="24">
        <f>fuente1!D16</f>
        <v>11634905611</v>
      </c>
      <c r="E23" s="24">
        <f>fuente1!E16</f>
        <v>12332999947</v>
      </c>
      <c r="F23" s="24">
        <f>fuente1!F16</f>
        <v>13560133442</v>
      </c>
      <c r="G23" s="24">
        <f>fuente1!G16</f>
        <v>14217799914</v>
      </c>
      <c r="H23" s="24">
        <f>fuente1!H16</f>
        <v>14964234410</v>
      </c>
      <c r="I23"/>
    </row>
    <row r="24" spans="1:10" ht="12.75">
      <c r="A24" s="20" t="s">
        <v>52</v>
      </c>
      <c r="B24" s="21" t="s">
        <v>53</v>
      </c>
      <c r="C24" s="24">
        <f>fuente1!C17</f>
        <v>16990621</v>
      </c>
      <c r="D24" s="24">
        <f>fuente1!D17</f>
        <v>17160527</v>
      </c>
      <c r="E24" s="24">
        <f>fuente1!E17</f>
        <v>17297811</v>
      </c>
      <c r="F24" s="24">
        <f>fuente1!F17</f>
        <v>17375652</v>
      </c>
      <c r="G24" s="24">
        <f>fuente1!G17</f>
        <v>17485118</v>
      </c>
      <c r="H24" s="24">
        <f>fuente1!H17</f>
        <v>17597023</v>
      </c>
      <c r="I24"/>
    </row>
    <row r="25" spans="1:10" ht="12.75">
      <c r="A25" s="20" t="s">
        <v>54</v>
      </c>
      <c r="B25" s="21" t="s">
        <v>55</v>
      </c>
      <c r="C25" s="24">
        <f>fuente1!C18</f>
        <v>572330908</v>
      </c>
      <c r="D25" s="24">
        <f>fuente1!D18</f>
        <v>596540505</v>
      </c>
      <c r="E25" s="24">
        <f>fuente1!E18</f>
        <v>628753693</v>
      </c>
      <c r="F25" s="24">
        <f>fuente1!F18</f>
        <v>660820131</v>
      </c>
      <c r="G25" s="24">
        <f>fuente1!G18</f>
        <v>693200317</v>
      </c>
      <c r="H25" s="24">
        <f>fuente1!H18</f>
        <v>729246734</v>
      </c>
      <c r="I25"/>
      <c r="J25" s="2"/>
    </row>
    <row r="26" spans="1:10" ht="12.75">
      <c r="A26" s="20" t="s">
        <v>56</v>
      </c>
      <c r="B26" s="21" t="s">
        <v>57</v>
      </c>
      <c r="C26" s="24">
        <f>fuente1!C19</f>
        <v>0</v>
      </c>
      <c r="D26" s="24">
        <f>fuente1!D19</f>
        <v>0</v>
      </c>
      <c r="E26" s="24">
        <f>fuente1!E19</f>
        <v>0</v>
      </c>
      <c r="F26" s="24">
        <f>fuente1!F19</f>
        <v>0</v>
      </c>
      <c r="G26" s="24">
        <f>fuente1!G19</f>
        <v>0</v>
      </c>
      <c r="H26" s="24">
        <f>fuente1!H19</f>
        <v>0</v>
      </c>
      <c r="I26"/>
    </row>
    <row r="27" spans="1:10" ht="12.75">
      <c r="A27" s="20" t="s">
        <v>58</v>
      </c>
      <c r="B27" s="21" t="s">
        <v>59</v>
      </c>
      <c r="C27" s="24">
        <f>fuente1!C20</f>
        <v>5905188876</v>
      </c>
      <c r="D27" s="24">
        <f>fuente1!D20</f>
        <v>6206353509</v>
      </c>
      <c r="E27" s="24">
        <f>fuente1!E20</f>
        <v>6525980714</v>
      </c>
      <c r="F27" s="24">
        <f>fuente1!F20</f>
        <v>6845753769</v>
      </c>
      <c r="G27" s="24">
        <f>fuente1!G20</f>
        <v>7105892413</v>
      </c>
      <c r="H27" s="24">
        <f>fuente1!H20</f>
        <v>7415709322</v>
      </c>
      <c r="I27"/>
    </row>
    <row r="28" spans="1:10" ht="12.75">
      <c r="A28" s="20" t="s">
        <v>60</v>
      </c>
      <c r="B28" s="21" t="s">
        <v>61</v>
      </c>
      <c r="C28" s="24">
        <f>fuente1!C21</f>
        <v>1704172377</v>
      </c>
      <c r="D28" s="24">
        <f>fuente1!D21</f>
        <v>1803014375</v>
      </c>
      <c r="E28" s="24">
        <f>fuente1!E21</f>
        <v>1884150022</v>
      </c>
      <c r="F28" s="24">
        <f>fuente1!F21</f>
        <v>1964226398</v>
      </c>
      <c r="G28" s="24">
        <f>fuente1!G21</f>
        <v>2042795454</v>
      </c>
      <c r="H28" s="24">
        <f>fuente1!H21</f>
        <v>2126550067</v>
      </c>
      <c r="I28"/>
    </row>
    <row r="29" spans="1:10" ht="12.75">
      <c r="A29" s="25" t="str">
        <f>fuente1!B22</f>
        <v>TOTAL EGRESOS PROYECTADOS</v>
      </c>
      <c r="B29" s="25"/>
      <c r="C29" s="23">
        <f>fuente1!C22</f>
        <v>65605412298</v>
      </c>
      <c r="D29" s="23">
        <f>fuente1!D22</f>
        <v>68513362228</v>
      </c>
      <c r="E29" s="23">
        <f>fuente1!E22</f>
        <v>71745832862</v>
      </c>
      <c r="F29" s="23">
        <f>fuente1!F22</f>
        <v>75666803841</v>
      </c>
      <c r="G29" s="23">
        <f>fuente1!G22</f>
        <v>78908487782</v>
      </c>
      <c r="H29" s="23">
        <f>fuente1!H22</f>
        <v>82534543054</v>
      </c>
      <c r="I29"/>
    </row>
    <row r="30" spans="1:10" ht="12.75">
      <c r="A30" s="3"/>
      <c r="B30" s="3"/>
      <c r="C30" s="4"/>
      <c r="D30" s="4"/>
      <c r="E30" s="4"/>
      <c r="F30" s="4"/>
      <c r="G30" s="4"/>
      <c r="H30" s="4"/>
    </row>
  </sheetData>
  <mergeCells count="9">
    <mergeCell ref="A9:B9"/>
    <mergeCell ref="A8:B8"/>
    <mergeCell ref="A19:B19"/>
    <mergeCell ref="A29:B29"/>
    <mergeCell ref="A3:H3"/>
    <mergeCell ref="A4:H4"/>
    <mergeCell ref="A5:H5"/>
    <mergeCell ref="A7:H7"/>
    <mergeCell ref="A6:H6"/>
  </mergeCells>
  <printOptions horizontalCentered="1"/>
  <pageMargins left="0.4" right="0.21" top="0.74803149606299213" bottom="0.74803149606299213" header="0.31496062992125984" footer="0.31496062992125984"/>
  <pageSetup scale="7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>
    <row r="1" spans="1:1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zoomScale="80" zoomScaleNormal="80" workbookViewId="0">
      <selection activeCell="C1" sqref="C1"/>
    </sheetView>
  </sheetViews>
  <sheetFormatPr baseColWidth="10" defaultColWidth="11.42578125" defaultRowHeight="12.75"/>
  <cols>
    <col min="1" max="1" width="10.28515625" customWidth="1"/>
    <col min="2" max="2" width="47.140625" customWidth="1"/>
    <col min="3" max="7" width="26.140625" bestFit="1" customWidth="1"/>
    <col min="8" max="8" width="21.42578125" bestFit="1" customWidth="1"/>
  </cols>
  <sheetData>
    <row r="1" spans="1:8" ht="25.5">
      <c r="A1" s="17" t="s">
        <v>2</v>
      </c>
      <c r="B1" s="17" t="s">
        <v>3</v>
      </c>
      <c r="C1" s="18" t="s">
        <v>62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29</v>
      </c>
    </row>
    <row r="2" spans="1:8">
      <c r="A2" s="12" t="s">
        <v>8</v>
      </c>
      <c r="B2" s="12" t="s">
        <v>32</v>
      </c>
      <c r="C2" s="14">
        <f>[1]!BExGetData("DP_1","00O2TQ2O5Z7DX1288R6J6L8QL","0001","GASTO NO ETIQUETADO")</f>
        <v>28357268955</v>
      </c>
      <c r="D2" s="15">
        <f>[1]!BExGetData("DP_1","00O2TQ2O5Z7DX1288R6J6LF25","0001","GASTO NO ETIQUETADO")</f>
        <v>29518350974</v>
      </c>
      <c r="E2" s="15">
        <f>[1]!BExGetData("DP_1","00O2TQ2O5Z7DX1288R6J6LLDP","0001","GASTO NO ETIQUETADO")</f>
        <v>30655127362</v>
      </c>
      <c r="F2" s="15">
        <f>[1]!BExGetData("DP_1","00O2TQ2O5Z7DX1288R6J6LRP9","0001","GASTO NO ETIQUETADO")</f>
        <v>31965164240</v>
      </c>
      <c r="G2" s="15">
        <f>[1]!BExGetData("DP_1","00O2TQ2O5Z7DX1288R6J6LY0T","0001","GASTO NO ETIQUETADO")</f>
        <v>33363189857</v>
      </c>
      <c r="H2" s="15">
        <f>[1]!BExGetData("DP_1","00O2TQ2O5Z7DX1288R6J6M4CD","0001","GASTO NO ETIQUETADO")</f>
        <v>34827313061</v>
      </c>
    </row>
    <row r="3" spans="1:8">
      <c r="A3" s="12" t="s">
        <v>9</v>
      </c>
      <c r="B3" s="12" t="s">
        <v>33</v>
      </c>
      <c r="C3" s="14">
        <f>[1]!BExGetData("DP_1","00O2TQ2O5Z7DX1288R6J6L8QL","0002","SERVICIOS PERONALES")</f>
        <v>8179681491</v>
      </c>
      <c r="D3" s="15">
        <f>[1]!BExGetData("DP_1","00O2TQ2O5Z7DX1288R6J6LF25","0002","SERVICIOS PERONALES")</f>
        <v>8560854648</v>
      </c>
      <c r="E3" s="15">
        <f>[1]!BExGetData("DP_1","00O2TQ2O5Z7DX1288R6J6LLDP","0002","SERVICIOS PERONALES")</f>
        <v>8886167125</v>
      </c>
      <c r="F3" s="15">
        <f>[1]!BExGetData("DP_1","00O2TQ2O5Z7DX1288R6J6LRP9","0002","SERVICIOS PERONALES")</f>
        <v>9339361648</v>
      </c>
      <c r="G3" s="15">
        <f>[1]!BExGetData("DP_1","00O2TQ2O5Z7DX1288R6J6LY0T","0002","SERVICIOS PERONALES")</f>
        <v>9796990369</v>
      </c>
      <c r="H3" s="15">
        <f>[1]!BExGetData("DP_1","00O2TQ2O5Z7DX1288R6J6M4CD","0002","SERVICIOS PERONALES")</f>
        <v>10272144402</v>
      </c>
    </row>
    <row r="4" spans="1:8">
      <c r="A4" s="12" t="s">
        <v>10</v>
      </c>
      <c r="B4" s="12" t="s">
        <v>34</v>
      </c>
      <c r="C4" s="14">
        <f>[1]!BExGetData("DP_1","00O2TQ2O5Z7DX1288R6J6L8QL","0003","MATERIALES Y SUMINISTROS")</f>
        <v>745326831</v>
      </c>
      <c r="D4" s="15">
        <f>[1]!BExGetData("DP_1","00O2TQ2O5Z7DX1288R6J6LF25","0003","MATERIALES Y SUMINISTROS")</f>
        <v>767686636</v>
      </c>
      <c r="E4" s="15">
        <f>[1]!BExGetData("DP_1","00O2TQ2O5Z7DX1288R6J6LLDP","0003","MATERIALES Y SUMINISTROS")</f>
        <v>790717235</v>
      </c>
      <c r="F4" s="15">
        <f>[1]!BExGetData("DP_1","00O2TQ2O5Z7DX1288R6J6LRP9","0003","MATERIALES Y SUMINISTROS")</f>
        <v>814438752</v>
      </c>
      <c r="G4" s="15">
        <f>[1]!BExGetData("DP_1","00O2TQ2O5Z7DX1288R6J6LY0T","0003","MATERIALES Y SUMINISTROS")</f>
        <v>838871915</v>
      </c>
      <c r="H4" s="15">
        <f>[1]!BExGetData("DP_1","00O2TQ2O5Z7DX1288R6J6M4CD","0003","MATERIALES Y SUMINISTROS")</f>
        <v>864038072</v>
      </c>
    </row>
    <row r="5" spans="1:8">
      <c r="A5" s="12" t="s">
        <v>11</v>
      </c>
      <c r="B5" s="12" t="s">
        <v>35</v>
      </c>
      <c r="C5" s="14">
        <f>[1]!BExGetData("DP_1","00O2TQ2O5Z7DX1288R6J6L8QL","0004","SERVICIOS GENERALES")</f>
        <v>1545093797</v>
      </c>
      <c r="D5" s="15">
        <f>[1]!BExGetData("DP_1","00O2TQ2O5Z7DX1288R6J6LF25","0004","SERVICIOS GENERALES")</f>
        <v>1591446611</v>
      </c>
      <c r="E5" s="15">
        <f>[1]!BExGetData("DP_1","00O2TQ2O5Z7DX1288R6J6LLDP","0004","SERVICIOS GENERALES")</f>
        <v>1639190009</v>
      </c>
      <c r="F5" s="15">
        <f>[1]!BExGetData("DP_1","00O2TQ2O5Z7DX1288R6J6LRP9","0004","SERVICIOS GENERALES")</f>
        <v>1688365710</v>
      </c>
      <c r="G5" s="15">
        <f>[1]!BExGetData("DP_1","00O2TQ2O5Z7DX1288R6J6LY0T","0004","SERVICIOS GENERALES")</f>
        <v>1739016681</v>
      </c>
      <c r="H5" s="15">
        <f>[1]!BExGetData("DP_1","00O2TQ2O5Z7DX1288R6J6M4CD","0004","SERVICIOS GENERALES")</f>
        <v>1791187181</v>
      </c>
    </row>
    <row r="6" spans="1:8">
      <c r="A6" s="12" t="s">
        <v>12</v>
      </c>
      <c r="B6" s="12" t="s">
        <v>36</v>
      </c>
      <c r="C6" s="14">
        <f>[1]!BExGetData("DP_1","00O2TQ2O5Z7DX1288R6J6L8QL","0005","TRANSFERENCIAS, ASIGNACIONES, SUBSIDIOS Y OTRAS AYUDAS")</f>
        <v>9679961537</v>
      </c>
      <c r="D6" s="15">
        <f>[1]!BExGetData("DP_1","00O2TQ2O5Z7DX1288R6J6LF25","0005","TRANSFERENCIAS, ASIGNACIONES, SUBSIDIOS Y OTRAS AYUDAS")</f>
        <v>10067159998</v>
      </c>
      <c r="E6" s="15">
        <f>[1]!BExGetData("DP_1","00O2TQ2O5Z7DX1288R6J6LLDP","0005","TRANSFERENCIAS, ASIGNACIONES, SUBSIDIOS Y OTRAS AYUDAS")</f>
        <v>10469846398</v>
      </c>
      <c r="F6" s="15">
        <f>[1]!BExGetData("DP_1","00O2TQ2O5Z7DX1288R6J6LRP9","0005","TRANSFERENCIAS, ASIGNACIONES, SUBSIDIOS Y OTRAS AYUDAS")</f>
        <v>10888640254</v>
      </c>
      <c r="G6" s="15">
        <f>[1]!BExGetData("DP_1","00O2TQ2O5Z7DX1288R6J6LY0T","0005","TRANSFERENCIAS, ASIGNACIONES, SUBSIDIOS Y OTRAS AYUDAS")</f>
        <v>11324185865</v>
      </c>
      <c r="H6" s="15">
        <f>[1]!BExGetData("DP_1","00O2TQ2O5Z7DX1288R6J6M4CD","0005","TRANSFERENCIAS, ASIGNACIONES, SUBSIDIOS Y OTRAS AYUDAS")</f>
        <v>11777153299</v>
      </c>
    </row>
    <row r="7" spans="1:8">
      <c r="A7" s="12" t="s">
        <v>13</v>
      </c>
      <c r="B7" s="12" t="s">
        <v>37</v>
      </c>
      <c r="C7" s="14">
        <f>[1]!BExGetData("DP_1","00O2TQ2O5Z7DX1288R6J6L8QL","0006","BIENES MUEBLES E INMUEBLES E INTANGIBLES")</f>
        <v>4469855</v>
      </c>
      <c r="D7" s="16">
        <f>[1]!BExGetData("DP_1","00O2TQ2O5Z7DX1288R6J6LF25","0006","BIENES MUEBLES E INMUEBLES E INTANGIBLES")</f>
        <v>0</v>
      </c>
      <c r="E7" s="16">
        <f>[1]!BExGetData("DP_1","00O2TQ2O5Z7DX1288R6J6LLDP","0006","BIENES MUEBLES E INMUEBLES E INTANGIBLES")</f>
        <v>0</v>
      </c>
      <c r="F7" s="16">
        <f>[1]!BExGetData("DP_1","00O2TQ2O5Z7DX1288R6J6LRP9","0006","BIENES MUEBLES E INMUEBLES E INTANGIBLES")</f>
        <v>0</v>
      </c>
      <c r="G7" s="16">
        <f>[1]!BExGetData("DP_1","00O2TQ2O5Z7DX1288R6J6LY0T","0006","BIENES MUEBLES E INMUEBLES E INTANGIBLES")</f>
        <v>0</v>
      </c>
      <c r="H7" s="16">
        <f>[1]!BExGetData("DP_1","00O2TQ2O5Z7DX1288R6J6M4CD","0006","BIENES MUEBLES E INMUEBLES E INTANGIBLES")</f>
        <v>0</v>
      </c>
    </row>
    <row r="8" spans="1:8">
      <c r="A8" s="12" t="s">
        <v>14</v>
      </c>
      <c r="B8" s="12" t="s">
        <v>38</v>
      </c>
      <c r="C8" s="14">
        <f>[1]!BExGetData("DP_1","00O2TQ2O5Z7DX1288R6J6L8QL","0007","INVERSION PUBLICA")</f>
        <v>891347462</v>
      </c>
      <c r="D8" s="15">
        <f>[1]!BExGetData("DP_1","00O2TQ2O5Z7DX1288R6J6LF25","0007","INVERSION PUBLICA")</f>
        <v>891347462</v>
      </c>
      <c r="E8" s="15">
        <f>[1]!BExGetData("DP_1","00O2TQ2O5Z7DX1288R6J6LLDP","0007","INVERSION PUBLICA")</f>
        <v>902043632</v>
      </c>
      <c r="F8" s="15">
        <f>[1]!BExGetData("DP_1","00O2TQ2O5Z7DX1288R6J6LRP9","0007","INVERSION PUBLICA")</f>
        <v>933615159</v>
      </c>
      <c r="G8" s="15">
        <f>[1]!BExGetData("DP_1","00O2TQ2O5Z7DX1288R6J6LY0T","0007","INVERSION PUBLICA")</f>
        <v>973293803</v>
      </c>
      <c r="H8" s="15">
        <f>[1]!BExGetData("DP_1","00O2TQ2O5Z7DX1288R6J6M4CD","0007","INVERSION PUBLICA")</f>
        <v>1017092024</v>
      </c>
    </row>
    <row r="9" spans="1:8">
      <c r="A9" s="12" t="s">
        <v>15</v>
      </c>
      <c r="B9" s="12" t="s">
        <v>39</v>
      </c>
      <c r="C9" s="14">
        <f>[1]!BExGetData("DP_1","00O2TQ2O5Z7DX1288R6J6L8QL","0008","INVERSIONES FINANCIERAS Y OTRAS PROVISIONES")</f>
        <v>86001452</v>
      </c>
      <c r="D9" s="15">
        <f>[1]!BExGetData("DP_1","00O2TQ2O5Z7DX1288R6J6LF25","0008","INVERSIONES FINANCIERAS Y OTRAS PROVISIONES")</f>
        <v>86388459</v>
      </c>
      <c r="E9" s="15">
        <f>[1]!BExGetData("DP_1","00O2TQ2O5Z7DX1288R6J6LLDP","0008","INVERSIONES FINANCIERAS Y OTRAS PROVISIONES")</f>
        <v>87079566</v>
      </c>
      <c r="F9" s="15">
        <f>[1]!BExGetData("DP_1","00O2TQ2O5Z7DX1288R6J6LRP9","0008","INVERSIONES FINANCIERAS Y OTRAS PROVISIONES")</f>
        <v>87645583</v>
      </c>
      <c r="G9" s="15">
        <f>[1]!BExGetData("DP_1","00O2TQ2O5Z7DX1288R6J6LY0T","0008","INVERSIONES FINANCIERAS Y OTRAS PROVISIONES")</f>
        <v>88153928</v>
      </c>
      <c r="H9" s="15">
        <f>[1]!BExGetData("DP_1","00O2TQ2O5Z7DX1288R6J6M4CD","0008","INVERSIONES FINANCIERAS Y OTRAS PROVISIONES")</f>
        <v>89000205</v>
      </c>
    </row>
    <row r="10" spans="1:8">
      <c r="A10" s="12" t="s">
        <v>16</v>
      </c>
      <c r="B10" s="12" t="s">
        <v>40</v>
      </c>
      <c r="C10" s="14">
        <f>[1]!BExGetData("DP_1","00O2TQ2O5Z7DX1288R6J6L8QL","0009","PARTICIPACIONES Y APORTACIONES A MUNICIPIOS")</f>
        <v>5795655356</v>
      </c>
      <c r="D10" s="15">
        <f>[1]!BExGetData("DP_1","00O2TQ2O5Z7DX1288R6J6LF25","0009","PARTICIPACIONES Y APORTACIONES A MUNICIPIOS")</f>
        <v>6040811578</v>
      </c>
      <c r="E10" s="15">
        <f>[1]!BExGetData("DP_1","00O2TQ2O5Z7DX1288R6J6LLDP","0009","PARTICIPACIONES Y APORTACIONES A MUNICIPIOS")</f>
        <v>6299358313</v>
      </c>
      <c r="F10" s="15">
        <f>[1]!BExGetData("DP_1","00O2TQ2O5Z7DX1288R6J6LRP9","0009","PARTICIPACIONES Y APORTACIONES A MUNICIPIOS")</f>
        <v>6565191234</v>
      </c>
      <c r="G10" s="15">
        <f>[1]!BExGetData("DP_1","00O2TQ2O5Z7DX1288R6J6LY0T","0009","PARTICIPACIONES Y APORTACIONES A MUNICIPIOS")</f>
        <v>6888855162</v>
      </c>
      <c r="H10" s="15">
        <f>[1]!BExGetData("DP_1","00O2TQ2O5Z7DX1288R6J6M4CD","0009","PARTICIPACIONES Y APORTACIONES A MUNICIPIOS")</f>
        <v>7232609034</v>
      </c>
    </row>
    <row r="11" spans="1:8">
      <c r="A11" s="12" t="s">
        <v>17</v>
      </c>
      <c r="B11" s="12" t="s">
        <v>41</v>
      </c>
      <c r="C11" s="14">
        <f>[1]!BExGetData("DP_1","00O2TQ2O5Z7DX1288R6J6L8QL","0010","DEUDA PUBLICA")</f>
        <v>1429731174</v>
      </c>
      <c r="D11" s="15">
        <f>[1]!BExGetData("DP_1","00O2TQ2O5Z7DX1288R6J6LF25","0010","DEUDA PUBLICA")</f>
        <v>1512655582</v>
      </c>
      <c r="E11" s="15">
        <f>[1]!BExGetData("DP_1","00O2TQ2O5Z7DX1288R6J6LLDP","0010","DEUDA PUBLICA")</f>
        <v>1580725083</v>
      </c>
      <c r="F11" s="15">
        <f>[1]!BExGetData("DP_1","00O2TQ2O5Z7DX1288R6J6LRP9","0010","DEUDA PUBLICA")</f>
        <v>1647905899</v>
      </c>
      <c r="G11" s="15">
        <f>[1]!BExGetData("DP_1","00O2TQ2O5Z7DX1288R6J6LY0T","0010","DEUDA PUBLICA")</f>
        <v>1713822135</v>
      </c>
      <c r="H11" s="15">
        <f>[1]!BExGetData("DP_1","00O2TQ2O5Z7DX1288R6J6M4CD","0010","DEUDA PUBLICA")</f>
        <v>1784088843</v>
      </c>
    </row>
    <row r="12" spans="1:8">
      <c r="A12" s="12" t="s">
        <v>18</v>
      </c>
      <c r="B12" s="12" t="s">
        <v>42</v>
      </c>
      <c r="C12" s="14">
        <f>[1]!BExGetData("DP_1","00O2TQ2O5Z7DX1288R6J6L8QL","0011","GASTO ETIQUETADO")</f>
        <v>37248143343</v>
      </c>
      <c r="D12" s="15">
        <f>[1]!BExGetData("DP_1","00O2TQ2O5Z7DX1288R6J6LF25","0011","GASTO ETIQUETADO")</f>
        <v>38995011254</v>
      </c>
      <c r="E12" s="15">
        <f>[1]!BExGetData("DP_1","00O2TQ2O5Z7DX1288R6J6LLDP","0011","GASTO ETIQUETADO")</f>
        <v>41090705501</v>
      </c>
      <c r="F12" s="15">
        <f>[1]!BExGetData("DP_1","00O2TQ2O5Z7DX1288R6J6LRP9","0011","GASTO ETIQUETADO")</f>
        <v>43701639602</v>
      </c>
      <c r="G12" s="15">
        <f>[1]!BExGetData("DP_1","00O2TQ2O5Z7DX1288R6J6LY0T","0011","GASTO ETIQUETADO")</f>
        <v>45545297925</v>
      </c>
      <c r="H12" s="15">
        <f>[1]!BExGetData("DP_1","00O2TQ2O5Z7DX1288R6J6M4CD","0011","GASTO ETIQUETADO")</f>
        <v>47707229993</v>
      </c>
    </row>
    <row r="13" spans="1:8">
      <c r="A13" s="12" t="s">
        <v>19</v>
      </c>
      <c r="B13" s="12" t="s">
        <v>33</v>
      </c>
      <c r="C13" s="14">
        <f>[1]!BExGetData("DP_1","00O2TQ2O5Z7DX1288R6J6L8QL","0012","SERVICIOS PERONALES")</f>
        <v>17308147402</v>
      </c>
      <c r="D13" s="15">
        <f>[1]!BExGetData("DP_1","00O2TQ2O5Z7DX1288R6J6LF25","0012","SERVICIOS PERONALES")</f>
        <v>18043743667</v>
      </c>
      <c r="E13" s="15">
        <f>[1]!BExGetData("DP_1","00O2TQ2O5Z7DX1288R6J6LLDP","0012","SERVICIOS PERONALES")</f>
        <v>18987431460</v>
      </c>
      <c r="F13" s="15">
        <f>[1]!BExGetData("DP_1","00O2TQ2O5Z7DX1288R6J6LRP9","0012","SERVICIOS PERONALES")</f>
        <v>19917815602</v>
      </c>
      <c r="G13" s="15">
        <f>[1]!BExGetData("DP_1","00O2TQ2O5Z7DX1288R6J6LY0T","0012","SERVICIOS PERONALES")</f>
        <v>20710544663</v>
      </c>
      <c r="H13" s="15">
        <f>[1]!BExGetData("DP_1","00O2TQ2O5Z7DX1288R6J6M4CD","0012","SERVICIOS PERONALES")</f>
        <v>21673584990</v>
      </c>
    </row>
    <row r="14" spans="1:8">
      <c r="A14" s="12" t="s">
        <v>20</v>
      </c>
      <c r="B14" s="12" t="s">
        <v>34</v>
      </c>
      <c r="C14" s="14">
        <f>[1]!BExGetData("DP_1","00O2TQ2O5Z7DX1288R6J6L8QL","0013","MATERIALES Y SUMINISTROS")</f>
        <v>158832825</v>
      </c>
      <c r="D14" s="15">
        <f>[1]!BExGetData("DP_1","00O2TQ2O5Z7DX1288R6J6LF25","0013","MATERIALES Y SUMINISTROS")</f>
        <v>163597810</v>
      </c>
      <c r="E14" s="15">
        <f>[1]!BExGetData("DP_1","00O2TQ2O5Z7DX1288R6J6LLDP","0013","MATERIALES Y SUMINISTROS")</f>
        <v>168505744</v>
      </c>
      <c r="F14" s="15">
        <f>[1]!BExGetData("DP_1","00O2TQ2O5Z7DX1288R6J6LRP9","0013","MATERIALES Y SUMINISTROS")</f>
        <v>173560916</v>
      </c>
      <c r="G14" s="15">
        <f>[1]!BExGetData("DP_1","00O2TQ2O5Z7DX1288R6J6LY0T","0013","MATERIALES Y SUMINISTROS")</f>
        <v>178767744</v>
      </c>
      <c r="H14" s="15">
        <f>[1]!BExGetData("DP_1","00O2TQ2O5Z7DX1288R6J6M4CD","0013","MATERIALES Y SUMINISTROS")</f>
        <v>184130776</v>
      </c>
    </row>
    <row r="15" spans="1:8">
      <c r="A15" s="12" t="s">
        <v>21</v>
      </c>
      <c r="B15" s="12" t="s">
        <v>35</v>
      </c>
      <c r="C15" s="14">
        <f>[1]!BExGetData("DP_1","00O2TQ2O5Z7DX1288R6J6L8QL","0014","SERVICIOS GENERALES")</f>
        <v>514267234</v>
      </c>
      <c r="D15" s="15">
        <f>[1]!BExGetData("DP_1","00O2TQ2O5Z7DX1288R6J6LF25","0014","SERVICIOS GENERALES")</f>
        <v>529695251</v>
      </c>
      <c r="E15" s="15">
        <f>[1]!BExGetData("DP_1","00O2TQ2O5Z7DX1288R6J6LLDP","0014","SERVICIOS GENERALES")</f>
        <v>545586109</v>
      </c>
      <c r="F15" s="15">
        <f>[1]!BExGetData("DP_1","00O2TQ2O5Z7DX1288R6J6LRP9","0014","SERVICIOS GENERALES")</f>
        <v>561953692</v>
      </c>
      <c r="G15" s="15">
        <f>[1]!BExGetData("DP_1","00O2TQ2O5Z7DX1288R6J6LY0T","0014","SERVICIOS GENERALES")</f>
        <v>578812303</v>
      </c>
      <c r="H15" s="15">
        <f>[1]!BExGetData("DP_1","00O2TQ2O5Z7DX1288R6J6M4CD","0014","SERVICIOS GENERALES")</f>
        <v>596176672</v>
      </c>
    </row>
    <row r="16" spans="1:8">
      <c r="A16" s="12" t="s">
        <v>22</v>
      </c>
      <c r="B16" s="12" t="s">
        <v>36</v>
      </c>
      <c r="C16" s="14">
        <f>[1]!BExGetData("DP_1","00O2TQ2O5Z7DX1288R6J6L8QL","0015","TRANSFERENCIAS, ASIGNACIONES, SUBSIDIOS Y OTRAS AYUDAS")</f>
        <v>11068213100</v>
      </c>
      <c r="D16" s="15">
        <f>[1]!BExGetData("DP_1","00O2TQ2O5Z7DX1288R6J6LF25","0015","TRANSFERENCIAS, ASIGNACIONES, SUBSIDIOS Y OTRAS AYUDAS")</f>
        <v>11634905611</v>
      </c>
      <c r="E16" s="15">
        <f>[1]!BExGetData("DP_1","00O2TQ2O5Z7DX1288R6J6LLDP","0015","TRANSFERENCIAS, ASIGNACIONES, SUBSIDIOS Y OTRAS AYUDAS")</f>
        <v>12332999947</v>
      </c>
      <c r="F16" s="15">
        <f>[1]!BExGetData("DP_1","00O2TQ2O5Z7DX1288R6J6LRP9","0015","TRANSFERENCIAS, ASIGNACIONES, SUBSIDIOS Y OTRAS AYUDAS")</f>
        <v>13560133442</v>
      </c>
      <c r="G16" s="15">
        <f>[1]!BExGetData("DP_1","00O2TQ2O5Z7DX1288R6J6LY0T","0015","TRANSFERENCIAS, ASIGNACIONES, SUBSIDIOS Y OTRAS AYUDAS")</f>
        <v>14217799914</v>
      </c>
      <c r="H16" s="15">
        <f>[1]!BExGetData("DP_1","00O2TQ2O5Z7DX1288R6J6M4CD","0015","TRANSFERENCIAS, ASIGNACIONES, SUBSIDIOS Y OTRAS AYUDAS")</f>
        <v>14964234410</v>
      </c>
    </row>
    <row r="17" spans="1:8">
      <c r="A17" s="12" t="s">
        <v>23</v>
      </c>
      <c r="B17" s="12" t="s">
        <v>37</v>
      </c>
      <c r="C17" s="14">
        <f>[1]!BExGetData("DP_1","00O2TQ2O5Z7DX1288R6J6L8QL","0016","BIENES MUEBLES E INMUEBLES E INTANGIBLES")</f>
        <v>16990621</v>
      </c>
      <c r="D17" s="15">
        <f>[1]!BExGetData("DP_1","00O2TQ2O5Z7DX1288R6J6LF25","0016","BIENES MUEBLES E INMUEBLES E INTANGIBLES")</f>
        <v>17160527</v>
      </c>
      <c r="E17" s="15">
        <f>[1]!BExGetData("DP_1","00O2TQ2O5Z7DX1288R6J6LLDP","0016","BIENES MUEBLES E INMUEBLES E INTANGIBLES")</f>
        <v>17297811</v>
      </c>
      <c r="F17" s="15">
        <f>[1]!BExGetData("DP_1","00O2TQ2O5Z7DX1288R6J6LRP9","0016","BIENES MUEBLES E INMUEBLES E INTANGIBLES")</f>
        <v>17375652</v>
      </c>
      <c r="G17" s="15">
        <f>[1]!BExGetData("DP_1","00O2TQ2O5Z7DX1288R6J6LY0T","0016","BIENES MUEBLES E INMUEBLES E INTANGIBLES")</f>
        <v>17485118</v>
      </c>
      <c r="H17" s="15">
        <f>[1]!BExGetData("DP_1","00O2TQ2O5Z7DX1288R6J6M4CD","0016","BIENES MUEBLES E INMUEBLES E INTANGIBLES")</f>
        <v>17597023</v>
      </c>
    </row>
    <row r="18" spans="1:8">
      <c r="A18" s="12" t="s">
        <v>24</v>
      </c>
      <c r="B18" s="12" t="s">
        <v>38</v>
      </c>
      <c r="C18" s="14">
        <f>[1]!BExGetData("DP_1","00O2TQ2O5Z7DX1288R6J6L8QL","0017","INVERSION PUBLICA")</f>
        <v>572330908</v>
      </c>
      <c r="D18" s="15">
        <f>[1]!BExGetData("DP_1","00O2TQ2O5Z7DX1288R6J6LF25","0017","INVERSION PUBLICA")</f>
        <v>596540505</v>
      </c>
      <c r="E18" s="15">
        <f>[1]!BExGetData("DP_1","00O2TQ2O5Z7DX1288R6J6LLDP","0017","INVERSION PUBLICA")</f>
        <v>628753693</v>
      </c>
      <c r="F18" s="15">
        <f>[1]!BExGetData("DP_1","00O2TQ2O5Z7DX1288R6J6LRP9","0017","INVERSION PUBLICA")</f>
        <v>660820131</v>
      </c>
      <c r="G18" s="15">
        <f>[1]!BExGetData("DP_1","00O2TQ2O5Z7DX1288R6J6LY0T","0017","INVERSION PUBLICA")</f>
        <v>693200317</v>
      </c>
      <c r="H18" s="15">
        <f>[1]!BExGetData("DP_1","00O2TQ2O5Z7DX1288R6J6M4CD","0017","INVERSION PUBLICA")</f>
        <v>729246734</v>
      </c>
    </row>
    <row r="19" spans="1:8">
      <c r="A19" s="12" t="s">
        <v>25</v>
      </c>
      <c r="B19" s="12" t="s">
        <v>39</v>
      </c>
      <c r="C19" s="13">
        <f>[1]!BExGetData("DP_1","00O2TQ2O5Z7DX1288R6J6L8QL","0018","INVERSIONES FINANCIERAS Y OTRAS PROVISIONES")</f>
        <v>0</v>
      </c>
      <c r="D19" s="16">
        <f>[1]!BExGetData("DP_1","00O2TQ2O5Z7DX1288R6J6LF25","0018","INVERSIONES FINANCIERAS Y OTRAS PROVISIONES")</f>
        <v>0</v>
      </c>
      <c r="E19" s="16">
        <f>[1]!BExGetData("DP_1","00O2TQ2O5Z7DX1288R6J6LLDP","0018","INVERSIONES FINANCIERAS Y OTRAS PROVISIONES")</f>
        <v>0</v>
      </c>
      <c r="F19" s="16">
        <f>[1]!BExGetData("DP_1","00O2TQ2O5Z7DX1288R6J6LRP9","0018","INVERSIONES FINANCIERAS Y OTRAS PROVISIONES")</f>
        <v>0</v>
      </c>
      <c r="G19" s="16">
        <f>[1]!BExGetData("DP_1","00O2TQ2O5Z7DX1288R6J6LY0T","0018","INVERSIONES FINANCIERAS Y OTRAS PROVISIONES")</f>
        <v>0</v>
      </c>
      <c r="H19" s="16">
        <f>[1]!BExGetData("DP_1","00O2TQ2O5Z7DX1288R6J6M4CD","0018","INVERSIONES FINANCIERAS Y OTRAS PROVISIONES")</f>
        <v>0</v>
      </c>
    </row>
    <row r="20" spans="1:8">
      <c r="A20" s="12" t="s">
        <v>26</v>
      </c>
      <c r="B20" s="12" t="s">
        <v>40</v>
      </c>
      <c r="C20" s="14">
        <f>[1]!BExGetData("DP_1","00O2TQ2O5Z7DX1288R6J6L8QL","0019","PARTICIPACIONES Y APORTACIONES A MUNICIPIOS")</f>
        <v>5905188876</v>
      </c>
      <c r="D20" s="15">
        <f>[1]!BExGetData("DP_1","00O2TQ2O5Z7DX1288R6J6LF25","0019","PARTICIPACIONES Y APORTACIONES A MUNICIPIOS")</f>
        <v>6206353509</v>
      </c>
      <c r="E20" s="15">
        <f>[1]!BExGetData("DP_1","00O2TQ2O5Z7DX1288R6J6LLDP","0019","PARTICIPACIONES Y APORTACIONES A MUNICIPIOS")</f>
        <v>6525980714</v>
      </c>
      <c r="F20" s="15">
        <f>[1]!BExGetData("DP_1","00O2TQ2O5Z7DX1288R6J6LRP9","0019","PARTICIPACIONES Y APORTACIONES A MUNICIPIOS")</f>
        <v>6845753769</v>
      </c>
      <c r="G20" s="15">
        <f>[1]!BExGetData("DP_1","00O2TQ2O5Z7DX1288R6J6LY0T","0019","PARTICIPACIONES Y APORTACIONES A MUNICIPIOS")</f>
        <v>7105892413</v>
      </c>
      <c r="H20" s="15">
        <f>[1]!BExGetData("DP_1","00O2TQ2O5Z7DX1288R6J6M4CD","0019","PARTICIPACIONES Y APORTACIONES A MUNICIPIOS")</f>
        <v>7415709322</v>
      </c>
    </row>
    <row r="21" spans="1:8">
      <c r="A21" s="12" t="s">
        <v>27</v>
      </c>
      <c r="B21" s="12" t="s">
        <v>41</v>
      </c>
      <c r="C21" s="14">
        <f>[1]!BExGetData("DP_1","00O2TQ2O5Z7DX1288R6J6L8QL","0020","DEUDA PUBLICA")</f>
        <v>1704172377</v>
      </c>
      <c r="D21" s="15">
        <f>[1]!BExGetData("DP_1","00O2TQ2O5Z7DX1288R6J6LF25","0020","DEUDA PUBLICA")</f>
        <v>1803014375</v>
      </c>
      <c r="E21" s="15">
        <f>[1]!BExGetData("DP_1","00O2TQ2O5Z7DX1288R6J6LLDP","0020","DEUDA PUBLICA")</f>
        <v>1884150022</v>
      </c>
      <c r="F21" s="15">
        <f>[1]!BExGetData("DP_1","00O2TQ2O5Z7DX1288R6J6LRP9","0020","DEUDA PUBLICA")</f>
        <v>1964226398</v>
      </c>
      <c r="G21" s="15">
        <f>[1]!BExGetData("DP_1","00O2TQ2O5Z7DX1288R6J6LY0T","0020","DEUDA PUBLICA")</f>
        <v>2042795454</v>
      </c>
      <c r="H21" s="15">
        <f>[1]!BExGetData("DP_1","00O2TQ2O5Z7DX1288R6J6M4CD","0020","DEUDA PUBLICA")</f>
        <v>2126550067</v>
      </c>
    </row>
    <row r="22" spans="1:8">
      <c r="A22" s="12" t="s">
        <v>28</v>
      </c>
      <c r="B22" s="12" t="s">
        <v>43</v>
      </c>
      <c r="C22" s="14">
        <f>[1]!BExGetData("DP_1","00O2TQ2O5Z7DX1288R6J6L8QL","0021","TOTAL EGRESOS PROYECTADOS")</f>
        <v>65605412298</v>
      </c>
      <c r="D22" s="15">
        <f>[1]!BExGetData("DP_1","00O2TQ2O5Z7DX1288R6J6LF25","0021","TOTAL EGRESOS PROYECTADOS")</f>
        <v>68513362228</v>
      </c>
      <c r="E22" s="15">
        <f>[1]!BExGetData("DP_1","00O2TQ2O5Z7DX1288R6J6LLDP","0021","TOTAL EGRESOS PROYECTADOS")</f>
        <v>71745832862</v>
      </c>
      <c r="F22" s="15">
        <f>[1]!BExGetData("DP_1","00O2TQ2O5Z7DX1288R6J6LRP9","0021","TOTAL EGRESOS PROYECTADOS")</f>
        <v>75666803841</v>
      </c>
      <c r="G22" s="15">
        <f>[1]!BExGetData("DP_1","00O2TQ2O5Z7DX1288R6J6LY0T","0021","TOTAL EGRESOS PROYECTADOS")</f>
        <v>78908487782</v>
      </c>
      <c r="H22" s="15">
        <f>[1]!BExGetData("DP_1","00O2TQ2O5Z7DX1288R6J6M4CD","0021","TOTAL EGRESOS PROYECTADOS")</f>
        <v>82534543054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/>
  </sheetViews>
  <sheetFormatPr baseColWidth="10" defaultRowHeight="12.75"/>
  <cols>
    <col min="3" max="8" width="22.42578125" bestFit="1" customWidth="1"/>
  </cols>
  <sheetData>
    <row r="1" spans="1:8" ht="25.5">
      <c r="A1" s="17" t="s">
        <v>2</v>
      </c>
      <c r="B1" s="17" t="s">
        <v>3</v>
      </c>
      <c r="C1" s="18" t="s">
        <v>62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29</v>
      </c>
    </row>
    <row r="2" spans="1:8">
      <c r="A2" s="12" t="s">
        <v>8</v>
      </c>
      <c r="B2" s="12" t="s">
        <v>32</v>
      </c>
      <c r="C2" s="14">
        <v>28357268955</v>
      </c>
      <c r="D2" s="15">
        <v>29518350974</v>
      </c>
      <c r="E2" s="15">
        <v>30655127362</v>
      </c>
      <c r="F2" s="15">
        <v>31965164240</v>
      </c>
      <c r="G2" s="15">
        <v>33363189857</v>
      </c>
      <c r="H2" s="15">
        <v>34827313061</v>
      </c>
    </row>
    <row r="3" spans="1:8">
      <c r="A3" s="12" t="s">
        <v>9</v>
      </c>
      <c r="B3" s="12" t="s">
        <v>33</v>
      </c>
      <c r="C3" s="14">
        <v>8179681491</v>
      </c>
      <c r="D3" s="15">
        <v>8560854648</v>
      </c>
      <c r="E3" s="15">
        <v>8886167125</v>
      </c>
      <c r="F3" s="15">
        <v>9339361648</v>
      </c>
      <c r="G3" s="15">
        <v>9796990369</v>
      </c>
      <c r="H3" s="15">
        <v>10272144402</v>
      </c>
    </row>
    <row r="4" spans="1:8">
      <c r="A4" s="12" t="s">
        <v>10</v>
      </c>
      <c r="B4" s="12" t="s">
        <v>34</v>
      </c>
      <c r="C4" s="14">
        <v>745326831</v>
      </c>
      <c r="D4" s="15">
        <v>767686636</v>
      </c>
      <c r="E4" s="15">
        <v>790717235</v>
      </c>
      <c r="F4" s="15">
        <v>814438752</v>
      </c>
      <c r="G4" s="15">
        <v>838871915</v>
      </c>
      <c r="H4" s="15">
        <v>864038072</v>
      </c>
    </row>
    <row r="5" spans="1:8">
      <c r="A5" s="12" t="s">
        <v>11</v>
      </c>
      <c r="B5" s="12" t="s">
        <v>35</v>
      </c>
      <c r="C5" s="14">
        <v>1545093797</v>
      </c>
      <c r="D5" s="15">
        <v>1591446611</v>
      </c>
      <c r="E5" s="15">
        <v>1639190009</v>
      </c>
      <c r="F5" s="15">
        <v>1688365710</v>
      </c>
      <c r="G5" s="15">
        <v>1739016681</v>
      </c>
      <c r="H5" s="15">
        <v>1791187181</v>
      </c>
    </row>
    <row r="6" spans="1:8">
      <c r="A6" s="12" t="s">
        <v>12</v>
      </c>
      <c r="B6" s="12" t="s">
        <v>36</v>
      </c>
      <c r="C6" s="14">
        <v>9679961537</v>
      </c>
      <c r="D6" s="15">
        <v>10067159998</v>
      </c>
      <c r="E6" s="15">
        <v>10469846398</v>
      </c>
      <c r="F6" s="15">
        <v>10888640254</v>
      </c>
      <c r="G6" s="15">
        <v>11324185865</v>
      </c>
      <c r="H6" s="15">
        <v>11777153299</v>
      </c>
    </row>
    <row r="7" spans="1:8">
      <c r="A7" s="12" t="s">
        <v>13</v>
      </c>
      <c r="B7" s="12" t="s">
        <v>37</v>
      </c>
      <c r="C7" s="14">
        <v>4469855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</row>
    <row r="8" spans="1:8">
      <c r="A8" s="12" t="s">
        <v>14</v>
      </c>
      <c r="B8" s="12" t="s">
        <v>38</v>
      </c>
      <c r="C8" s="14">
        <v>891347462</v>
      </c>
      <c r="D8" s="15">
        <v>891347462</v>
      </c>
      <c r="E8" s="15">
        <v>902043632</v>
      </c>
      <c r="F8" s="15">
        <v>933615159</v>
      </c>
      <c r="G8" s="15">
        <v>973293803</v>
      </c>
      <c r="H8" s="15">
        <v>1017092024</v>
      </c>
    </row>
    <row r="9" spans="1:8">
      <c r="A9" s="12" t="s">
        <v>15</v>
      </c>
      <c r="B9" s="12" t="s">
        <v>39</v>
      </c>
      <c r="C9" s="14">
        <v>86001452</v>
      </c>
      <c r="D9" s="15">
        <v>86388459</v>
      </c>
      <c r="E9" s="15">
        <v>87079566</v>
      </c>
      <c r="F9" s="15">
        <v>87645583</v>
      </c>
      <c r="G9" s="15">
        <v>88153928</v>
      </c>
      <c r="H9" s="15">
        <v>89000205</v>
      </c>
    </row>
    <row r="10" spans="1:8">
      <c r="A10" s="12" t="s">
        <v>16</v>
      </c>
      <c r="B10" s="12" t="s">
        <v>40</v>
      </c>
      <c r="C10" s="14">
        <v>5795655356</v>
      </c>
      <c r="D10" s="15">
        <v>6040811578</v>
      </c>
      <c r="E10" s="15">
        <v>6299358313</v>
      </c>
      <c r="F10" s="15">
        <v>6565191234</v>
      </c>
      <c r="G10" s="15">
        <v>6888855162</v>
      </c>
      <c r="H10" s="15">
        <v>7232609034</v>
      </c>
    </row>
    <row r="11" spans="1:8">
      <c r="A11" s="12" t="s">
        <v>17</v>
      </c>
      <c r="B11" s="12" t="s">
        <v>41</v>
      </c>
      <c r="C11" s="14">
        <v>1429731174</v>
      </c>
      <c r="D11" s="15">
        <v>1512655582</v>
      </c>
      <c r="E11" s="15">
        <v>1580725083</v>
      </c>
      <c r="F11" s="15">
        <v>1647905899</v>
      </c>
      <c r="G11" s="15">
        <v>1713822135</v>
      </c>
      <c r="H11" s="15">
        <v>1784088843</v>
      </c>
    </row>
    <row r="12" spans="1:8">
      <c r="A12" s="12" t="s">
        <v>18</v>
      </c>
      <c r="B12" s="12" t="s">
        <v>42</v>
      </c>
      <c r="C12" s="14">
        <v>37248143343</v>
      </c>
      <c r="D12" s="15">
        <v>38995011254</v>
      </c>
      <c r="E12" s="15">
        <v>41090705501</v>
      </c>
      <c r="F12" s="15">
        <v>43701639602</v>
      </c>
      <c r="G12" s="15">
        <v>45545297925</v>
      </c>
      <c r="H12" s="15">
        <v>47707229993</v>
      </c>
    </row>
    <row r="13" spans="1:8">
      <c r="A13" s="12" t="s">
        <v>19</v>
      </c>
      <c r="B13" s="12" t="s">
        <v>33</v>
      </c>
      <c r="C13" s="14">
        <v>17308147402</v>
      </c>
      <c r="D13" s="15">
        <v>18043743667</v>
      </c>
      <c r="E13" s="15">
        <v>18987431460</v>
      </c>
      <c r="F13" s="15">
        <v>19917815602</v>
      </c>
      <c r="G13" s="15">
        <v>20710544663</v>
      </c>
      <c r="H13" s="15">
        <v>21673584990</v>
      </c>
    </row>
    <row r="14" spans="1:8">
      <c r="A14" s="12" t="s">
        <v>20</v>
      </c>
      <c r="B14" s="12" t="s">
        <v>34</v>
      </c>
      <c r="C14" s="14">
        <v>158832825</v>
      </c>
      <c r="D14" s="15">
        <v>163597810</v>
      </c>
      <c r="E14" s="15">
        <v>168505744</v>
      </c>
      <c r="F14" s="15">
        <v>173560916</v>
      </c>
      <c r="G14" s="15">
        <v>178767744</v>
      </c>
      <c r="H14" s="15">
        <v>184130776</v>
      </c>
    </row>
    <row r="15" spans="1:8">
      <c r="A15" s="12" t="s">
        <v>21</v>
      </c>
      <c r="B15" s="12" t="s">
        <v>35</v>
      </c>
      <c r="C15" s="14">
        <v>514267234</v>
      </c>
      <c r="D15" s="15">
        <v>529695251</v>
      </c>
      <c r="E15" s="15">
        <v>545586109</v>
      </c>
      <c r="F15" s="15">
        <v>561953692</v>
      </c>
      <c r="G15" s="15">
        <v>578812303</v>
      </c>
      <c r="H15" s="15">
        <v>596176672</v>
      </c>
    </row>
    <row r="16" spans="1:8">
      <c r="A16" s="12" t="s">
        <v>22</v>
      </c>
      <c r="B16" s="12" t="s">
        <v>36</v>
      </c>
      <c r="C16" s="14">
        <v>11068213100</v>
      </c>
      <c r="D16" s="15">
        <v>11634905611</v>
      </c>
      <c r="E16" s="15">
        <v>12332999947</v>
      </c>
      <c r="F16" s="15">
        <v>13560133442</v>
      </c>
      <c r="G16" s="15">
        <v>14217799914</v>
      </c>
      <c r="H16" s="15">
        <v>14964234410</v>
      </c>
    </row>
    <row r="17" spans="1:8">
      <c r="A17" s="12" t="s">
        <v>23</v>
      </c>
      <c r="B17" s="12" t="s">
        <v>37</v>
      </c>
      <c r="C17" s="14">
        <v>16990621</v>
      </c>
      <c r="D17" s="15">
        <v>17160527</v>
      </c>
      <c r="E17" s="15">
        <v>17297811</v>
      </c>
      <c r="F17" s="15">
        <v>17375652</v>
      </c>
      <c r="G17" s="15">
        <v>17485118</v>
      </c>
      <c r="H17" s="15">
        <v>17597023</v>
      </c>
    </row>
    <row r="18" spans="1:8">
      <c r="A18" s="12" t="s">
        <v>24</v>
      </c>
      <c r="B18" s="12" t="s">
        <v>38</v>
      </c>
      <c r="C18" s="14">
        <v>572330908</v>
      </c>
      <c r="D18" s="15">
        <v>596540505</v>
      </c>
      <c r="E18" s="15">
        <v>628753693</v>
      </c>
      <c r="F18" s="15">
        <v>660820131</v>
      </c>
      <c r="G18" s="15">
        <v>693200317</v>
      </c>
      <c r="H18" s="15">
        <v>729246734</v>
      </c>
    </row>
    <row r="19" spans="1:8">
      <c r="A19" s="12" t="s">
        <v>25</v>
      </c>
      <c r="B19" s="12" t="s">
        <v>39</v>
      </c>
      <c r="C19" s="13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1:8">
      <c r="A20" s="12" t="s">
        <v>26</v>
      </c>
      <c r="B20" s="12" t="s">
        <v>40</v>
      </c>
      <c r="C20" s="14">
        <v>5905188876</v>
      </c>
      <c r="D20" s="15">
        <v>6206353509</v>
      </c>
      <c r="E20" s="15">
        <v>6525980714</v>
      </c>
      <c r="F20" s="15">
        <v>6845753769</v>
      </c>
      <c r="G20" s="15">
        <v>7105892413</v>
      </c>
      <c r="H20" s="15">
        <v>7415709322</v>
      </c>
    </row>
    <row r="21" spans="1:8">
      <c r="A21" s="12" t="s">
        <v>27</v>
      </c>
      <c r="B21" s="12" t="s">
        <v>41</v>
      </c>
      <c r="C21" s="14">
        <v>1704172377</v>
      </c>
      <c r="D21" s="15">
        <v>1803014375</v>
      </c>
      <c r="E21" s="15">
        <v>1884150022</v>
      </c>
      <c r="F21" s="15">
        <v>1964226398</v>
      </c>
      <c r="G21" s="15">
        <v>2042795454</v>
      </c>
      <c r="H21" s="15">
        <v>2126550067</v>
      </c>
    </row>
    <row r="22" spans="1:8">
      <c r="A22" s="12" t="s">
        <v>28</v>
      </c>
      <c r="B22" s="12" t="s">
        <v>43</v>
      </c>
      <c r="C22" s="14">
        <v>65605412298</v>
      </c>
      <c r="D22" s="15">
        <v>68513362228</v>
      </c>
      <c r="E22" s="15">
        <v>71745832862</v>
      </c>
      <c r="F22" s="15">
        <v>75666803841</v>
      </c>
      <c r="G22" s="15">
        <v>78908487782</v>
      </c>
      <c r="H22" s="15">
        <v>82534543054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7D03C0-0C78-45C5-989A-9859B7693440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Proyecciones de Egresos</vt:lpstr>
      <vt:lpstr>fuente1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7b. Proyecciones de Egresos</dc:title>
  <dc:creator>steel</dc:creator>
  <cp:lastModifiedBy>JPMARTINEZ</cp:lastModifiedBy>
  <cp:lastPrinted>2019-01-31T04:07:10Z</cp:lastPrinted>
  <dcterms:created xsi:type="dcterms:W3CDTF">2017-07-25T22:37:43Z</dcterms:created>
  <dcterms:modified xsi:type="dcterms:W3CDTF">2019-01-31T04:13:32Z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Proyecciones de Egresos</vt:lpwstr>
  </property>
  <property fmtid="{D5CDD505-2E9C-101B-9397-08002B2CF9AE}" pid="3" name="BExAnalyzer_OldName">
    <vt:lpwstr>B90LJ1HYHP8OI1YYAAOH5QN4C.xlsx</vt:lpwstr>
  </property>
</Properties>
</file>